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ruja Ella OR La OR Ellas -fil" sheetId="1" r:id="rId4"/>
    <sheet state="visible" name="C0jer Ella OR La OR Ellas -Ello" sheetId="2" r:id="rId5"/>
    <sheet state="visible" name="Pvta Ella OR La OR Eres langes " sheetId="3" r:id="rId6"/>
    <sheet state="visible" name="Eres Pvta langes -filterretweet" sheetId="4" r:id="rId7"/>
    <sheet state="visible" name="Pvta langes -filterretweets -fi" sheetId="5" r:id="rId8"/>
    <sheet state="visible" name="Cerda langes -filterretweets -f" sheetId="6" r:id="rId9"/>
    <sheet state="visible" name="Payasa langes -filterretweets -" sheetId="7" r:id="rId10"/>
    <sheet state="visible" name="Twitter Archiver Logs" sheetId="8" r:id="rId11"/>
    <sheet state="visible" name="Hoja 1" sheetId="9" r:id="rId12"/>
  </sheets>
  <definedNames/>
  <calcPr/>
</workbook>
</file>

<file path=xl/sharedStrings.xml><?xml version="1.0" encoding="utf-8"?>
<sst xmlns="http://schemas.openxmlformats.org/spreadsheetml/2006/main" count="2559" uniqueCount="2026">
  <si>
    <t>Twitter Query: Piruja Ella OR La OR Ellas -filter:retweets -filter:replies</t>
  </si>
  <si>
    <t>Date</t>
  </si>
  <si>
    <t>Screen Name</t>
  </si>
  <si>
    <t>Full Name</t>
  </si>
  <si>
    <t>Tweet Text</t>
  </si>
  <si>
    <t>Tweet ID</t>
  </si>
  <si>
    <t>Link(s)</t>
  </si>
  <si>
    <t>Media</t>
  </si>
  <si>
    <t>Location</t>
  </si>
  <si>
    <t>Retweets</t>
  </si>
  <si>
    <t>Favorites</t>
  </si>
  <si>
    <t>App</t>
  </si>
  <si>
    <t>Followers</t>
  </si>
  <si>
    <t>Follows</t>
  </si>
  <si>
    <t>Listed</t>
  </si>
  <si>
    <t>Verfied</t>
  </si>
  <si>
    <t>User Since</t>
  </si>
  <si>
    <t>Bio</t>
  </si>
  <si>
    <t>Website</t>
  </si>
  <si>
    <t>Timezone</t>
  </si>
  <si>
    <t>Profile Image</t>
  </si>
  <si>
    <t>DomDark</t>
  </si>
  <si>
    <t>Buenas noches 😉😂 Pipi y a la cama que si no os lleva la bruja piruja...😂😂😂</t>
  </si>
  <si>
    <t>https://pbs.twimg.com/media/Esr6NZ7WMAEZpSC.jpg</t>
  </si>
  <si>
    <t>Madrí y tal...</t>
  </si>
  <si>
    <t>Toco los cojones sin querer, los hijos de puta me adoran. Mi chica dice que a ratos molo..😬 Observador de vuelo de moscas a tiempo completo.</t>
  </si>
  <si>
    <t>VNK_R0B@.M4RY2</t>
  </si>
  <si>
    <t>De los Mexicanos me encanta la palabra Piruja.</t>
  </si>
  <si>
    <t>Dominican Republic</t>
  </si>
  <si>
    <t>Viviendo en una galeria Caribe de Histrionismo. Irreverentza is preached. Be 𝙍𝙤𝙪𝙭! I ❤Cristina La Veneno.</t>
  </si>
  <si>
    <t>http://instagram.com/monsieurfedor</t>
  </si>
  <si>
    <t>Juliana</t>
  </si>
  <si>
    <t>dice mi jefa ''bueno profes, nos vemos mañana'' y mi mamá por allá en la cocina ''UY SÍ YA CHAO VIEJA PIRUJA QUE USTED NO ESTÁ PAGÁNDOLE EXTRA''</t>
  </si>
  <si>
    <t>Bucaramanga, Colombia</t>
  </si>
  <si>
    <t>joyous positive and dispairing negative.</t>
  </si>
  <si>
    <t>La Nena 🥰</t>
  </si>
  <si>
    <t>¿Siguen hablando nde la borracha piruja de Nath Campos? Valen verga hijos</t>
  </si>
  <si>
    <t>Dj de closet. Me gustan hombres y mujeres, animales no. +18</t>
  </si>
  <si>
    <t>Avi GdeO</t>
  </si>
  <si>
    <t>Extraño a la piruja de Alexa, me urge que quiten semáforo rojo para que Fabi nos deje vernos :( @alee_escamilla</t>
  </si>
  <si>
    <t>ojalá nadie me encontrara en tw</t>
  </si>
  <si>
    <t>https://instagram.com/avi_gdeo?igshid=6p5dcsxo579h</t>
  </si>
  <si>
    <t>∞ ♥ 𝑀𝑎𝑠ℎ𝑎 𝐴𝑔𝑢𝑖𝑟𝑟𝑒 ♥ ∞</t>
  </si>
  <si>
    <t>Entre mas delgada la ceja mas piruja la vieja .. entre mas grande el escote mas le encanta el garrote .. y entre mas largo el tacon mas pronto se bajan el calzón 😂😂😂😂😂😂😂😂😂😂😂😂</t>
  </si>
  <si>
    <t>19.389247,-99.182485</t>
  </si>
  <si>
    <t>∞ ♀️ Dios ama a todas las personas por igual..el problema es que yo no soy Dios....∞ ♀️</t>
  </si>
  <si>
    <t>Don Indalecio Biden.</t>
  </si>
  <si>
    <t>La palabra “piruja” se me hace súper simpática, pinches pirujas.</t>
  </si>
  <si>
    <t>Cerrado por derribo.</t>
  </si>
  <si>
    <t>호석’s yadi ☀️🐿 | ASB😌🤝</t>
  </si>
  <si>
    <t>y porque dices que tus palabras me afectan?? 🤣🤣 puta ni te hablo. eres familia de mi mamá pero de mi? no eres nada pendeja. me tengo que tatuar “***** no es mi prima” en la frente o que perra? 🤣 pobre tu vida piruja.</t>
  </si>
  <si>
    <t>🇸🇻🇧🇴 | poc | proud bisexual | card byf | multi💕| hey bestie @hikunic 💕 | #ROSÉ: you ain’t worth my love if you only love to hate me</t>
  </si>
  <si>
    <t>Isai Martínez</t>
  </si>
  <si>
    <t>La piruja de @MarzhePdl se ofendió por decirle la verdad 🤣</t>
  </si>
  <si>
    <t>https://pbs.twimg.com/media/EsnsM_lXUAghrNS.jpg</t>
  </si>
  <si>
    <t>México</t>
  </si>
  <si>
    <t>“No son los títulos lo que honran a los hombres, sino que los hombres honran sus títulos.”</t>
  </si>
  <si>
    <t>🤡</t>
  </si>
  <si>
    <t>Sáquese a la verga vieja piruja.</t>
  </si>
  <si>
    <t>El Progreso, Honduras</t>
  </si>
  <si>
    <t>...</t>
  </si>
  <si>
    <t>Gaia se hace facepalm ✨</t>
  </si>
  <si>
    <t>Weon, confirmo que me cago en la put* bruja piruja, me mato ya 2 veces seguidas :D ✨</t>
  </si>
  <si>
    <t>obviamente soy argentina wacho</t>
  </si>
  <si>
    <t>los panaderos no cumplen deseos, cumplelos tu mismo carajo 🙃✨ cUeNtA mUeRtA:@GaiaPogonza FoTo De PeRfIl: una llorashion, solo eso Ban: @Alejandroku4416</t>
  </si>
  <si>
    <t>https://www.youtube.com/channel/UCL_ogSJkRqtbcGO8MWFJsBA</t>
  </si>
  <si>
    <t>Ernesto Cantú M.</t>
  </si>
  <si>
    <t>ESTA PIRUJA ES LA LIDER MORAL DE LOS KAKAFANS RT @Vandirceu: Que Miserable es este Reportero, ahora entiendo porque le dicen Chillon.</t>
  </si>
  <si>
    <t>https://twitter.com/vandirceu/status/1352108753580032000
https://twitter.com/IrvingPineda/status/1352073188579160066</t>
  </si>
  <si>
    <t>Ingeniero. Empresario.</t>
  </si>
  <si>
    <t>El-piruja-</t>
  </si>
  <si>
    <t>La Cadem tiene credibilidad para la izquierda solo les conviene</t>
  </si>
  <si>
    <t>Derechista, anticomunacho, pinochetista #Rechazocrece, nunca discutas con gente weona, así que si apruebas tienes toda la razón nosotros estamos mal.</t>
  </si>
  <si>
    <t>🧷Papita ♡'s Abyss</t>
  </si>
  <si>
    <t>La profe piruja de sexto RT @ughcoo: 77. si pudieras borrar alguna experiencia negativa de tu vida, ¿cuál sería?</t>
  </si>
  <si>
    <t>https://twitter.com/ughcoo/status/1326766244381528064</t>
  </si>
  <si>
    <t>S%HER</t>
  </si>
  <si>
    <t>🍥 𝙽𝚢𝚊𝚊𝚊𝚊𝚊~ 𝚘𝚗𝚒-𝚌𝚑𝚊𝚗!! ✨🍼 ⠀⠀⠀⠀⠀⠀⠀⠀ ︎︎︎︎ ︎︎︎︎ ︎︎︎︎ ︎︎︎︎ ︎︎︎︎ ︎︎︎︎ ︎︎︎︎ ︎︎︎︎ ᡕᠵ᠊ᡃ່࡚ࠢ࠘ ⸝່ࠡࠣ᠊߯᠆ࠣ࠘ᡁࠣ࠘᠊᠊ࠢ࠘𐡏~♡ my daddy’s got a gun 🍧</t>
  </si>
  <si>
    <t>José Ángeles 𓂀</t>
  </si>
  <si>
    <t>Como me caga que hablen de NFL sin tener la más mínima piruja idea.</t>
  </si>
  <si>
    <t>México D.F.</t>
  </si>
  <si>
    <t>Patriota desde el 2001 (porque nací a finales del 95') #GoPats , aunque también me gusta apoyar a los #Browns #SoyDePumas de toda la vida 😾🐾</t>
  </si>
  <si>
    <t>Maddy 💀</t>
  </si>
  <si>
    <t>La bruja piruja RT @Stefanypowers: Esto es lo que voy a responder cuando me digan algo que no me gusta en Tuiter.</t>
  </si>
  <si>
    <t>https://twitter.com/Stefanypowers/status/1350125725936996354</t>
  </si>
  <si>
    <t>pic.twitter.com/qfRqFgan0V</t>
  </si>
  <si>
    <t>Videojugadora y dibujanta. A veces, demasiado soñadora.</t>
  </si>
  <si>
    <t>Elena 👓💋</t>
  </si>
  <si>
    <t>No, no vale la pena pelearse por eso, pero debería reprender también a la bruja piruja de la pelirroja. Ella es quien le ha robado el cuaderno y provocado el enfrentamiento #MiHija24Ene</t>
  </si>
  <si>
    <t>Badalona, España</t>
  </si>
  <si>
    <t>🎼 Y es que a veces para armarme necesito mis ruinas 🎼 @mihija_kizim</t>
  </si>
  <si>
    <t>https://www.bernardbullen.com</t>
  </si>
  <si>
    <t>zain</t>
  </si>
  <si>
    <t>Como ven a la piruja. RT @darkxabyss_alv: no pq me enculo, ah JAJAJAJAJQJQJ</t>
  </si>
  <si>
    <t>https://twitter.com/darkxabyss_alv/status/1353445747375525888
https://twitter.com/alvzain/status/1353445612377624582</t>
  </si>
  <si>
    <t>indefinido</t>
  </si>
  <si>
    <t>Inclusive☁️</t>
  </si>
  <si>
    <t>me recordó a cierto triunfito que empieza por c y termina por pena desde el primer minuto que le vi por la nariz de bruja piruja que tiene 😭 RT @rivusasfate: martin</t>
  </si>
  <si>
    <t>https://twitter.com/FERMARlA/status/1353402814051966977</t>
  </si>
  <si>
    <t>https://pbs.twimg.com/media/EshArzJVcAENtbV.jpg</t>
  </si>
  <si>
    <t>𝑇𝑒 𝑔𝑎𝑛𝑒́ 𝑠𝑖𝑛 𝑡𝑒𝑚𝑏𝑙𝑎𝑟 𝑑𝑒 𝑢𝑛 𝑎𝑠𝑎𝑙𝑡𝑜</t>
  </si>
  <si>
    <t>https://youtu.be/hD4W1UktL9E</t>
  </si>
  <si>
    <t>welch's</t>
  </si>
  <si>
    <t>la vdd esperl que un dia q este en casa de gretchen se le salga decirme piruja y mi tia la regañe enfrente de mi</t>
  </si>
  <si>
    <t>http://vsco.co/marigzzo</t>
  </si>
  <si>
    <t>𝐅𝐎𝐒𝐅𝐎 𝐅𝐎𝐒𝐅𝐎 𝐈𝐒 𝐃𝐔𝐌𝐁</t>
  </si>
  <si>
    <t>He estado jugando con mi hermana en el play a un juego que nos encontramos de Voltron y la piruja dice que son perros, harta me tiene</t>
  </si>
  <si>
    <t xml:space="preserve">sᥱᥴtᥲ , skყ, dᥲᥒι ᥲᥒd mᥲx </t>
  </si>
  <si>
    <t>ㅤ𓂅 ▬▬ 𝐑𝐏 ↯ ᥲᥒdrᥱᥕ gᥲrfιᥱᥣd goddᥱss 𓏬 ᥕᥱιrd shιρs sιᥒᥴᥱ 97's ⦃bᥱᥒ 10 stᥲᥒ⦄ ೃ ᥣιbrᥲ + kιᥒdᥲ ᥕᥱιrd ✺ · ˚❛ mᥲᥒ's ᥣoᥒᥱᥣιᥒᥱss ιs oᥒᥣყ hιs fᥱᥲr of ᥣιfᥱ ❜</t>
  </si>
  <si>
    <t>https://curiouscat.qa/Itsafosfothing</t>
  </si>
  <si>
    <t>mich | 🐿★ busca moots moa</t>
  </si>
  <si>
    <t>LA MUY PIRUJA DE BIAN ME ESTÁ MANDANDO GIFS DE HOBI ENCIMA SPOTIFY ME PUSO IDK YOU YET, ME QUOEOR MTAAR</t>
  </si>
  <si>
    <t>𝙨𝙠𝙯 + 𝙨𝙩𝙖𝙮 = 𝙛𝙖𝙢</t>
  </si>
  <si>
    <t>extraño a hobi todos los días @ohwoosung</t>
  </si>
  <si>
    <t>http://hose00k.carrd.co</t>
  </si>
  <si>
    <t>azami llorando por shalt.</t>
  </si>
  <si>
    <t>nadie marilla cerrarle el orto a la vieja piruja esa</t>
  </si>
  <si>
    <t>she!her.</t>
  </si>
  <si>
    <t>ㅤ﹙不滅﹚ㅤ﹕ㅤ𝓕𝗮𝗿𝗲𝘄𝗲𝗹𝗹 、𝐰𝐢𝐭𝐜𝐡'𝐬ㅤ𝐬𝐩𝐚𝐰𝐧.ㅤㅤ</t>
  </si>
  <si>
    <t>https://www.irlshintsukimi.xn--c5c</t>
  </si>
  <si>
    <t>👹𝑬𝒍 𝒈𝒐𝒓𝒅𝒐 𝒃𝒂𝒏𝒅𝒊𝒅𝒐👹</t>
  </si>
  <si>
    <t>La última PINCHITA con @livie_o y otra piruja bella ahí. @_croquetisha_ no te pongas celosa oite</t>
  </si>
  <si>
    <t>https://pbs.twimg.com/media/EscDOYFVEAAhvUL.jpg</t>
  </si>
  <si>
    <t xml:space="preserve">El país del Relajo </t>
  </si>
  <si>
    <t>𝖀𝖓 𝖌𝖔𝖗𝖉𝖔 𝖓𝖆𝖗𝖈𝖎𝖘𝖎𝖘𝖙𝖆 𝖈𝖔𝖓 𝖊𝖑 𝖘𝖚𝖊ñ𝖔 𝖉𝖊 𝖘𝖊𝖗 𝖈𝖎𝖓𝖊𝖆𝖘𝖙𝖆. 𝕸á𝖘 𝖓𝖆 𝖖𝖚𝖊 𝖊𝖘𝖔✌🏻😑</t>
  </si>
  <si>
    <t>http://instagram.com/guillo_con_nes</t>
  </si>
  <si>
    <t>Pedrito Poirier.</t>
  </si>
  <si>
    <t>La piruja borracha esa ya monetizó bastante bien el vídeo de su "violación", ya tiene la atención que le faltó de niña, ahora viene el "perdón" y el "aprender a perdonar" y el "agresor" quedará libre de culpa. Asco.</t>
  </si>
  <si>
    <t>Ángel desnudo bañado en sudor.</t>
  </si>
  <si>
    <t>A raiz de la polémica de @MaiteOrsini por llamar feto ,embrión o cigoto ,al bebe por nacer ¿que cree usted? Ella es:</t>
  </si>
  <si>
    <t>CHUPERAMIGOSS</t>
  </si>
  <si>
    <t>JAJAJAJJAAJ Estoy en el negocio familiar y estaba haciendo unas papas fritas y traigo audífonos; La Jta bailando como piruja la canción de Bichota 🤣🤣🤣</t>
  </si>
  <si>
    <t>LA PAZ BAJA CALIFORNIA SUR, 🇲🇽 ints:aureliologo</t>
  </si>
  <si>
    <t>𝒎𝒊𝒏𝒆</t>
  </si>
  <si>
    <t>imagínese usted conocer a su pareja y saber qué regalarle porque le gustará y la hará feliz, para que venga otra piruja a decirle que mejor le hubieran regalado otra cosa ajshjaka q putas</t>
  </si>
  <si>
    <t>@AmericadeCali // @__Free_S🖤 // @AlcolirykoZ ⚔️</t>
  </si>
  <si>
    <t>https://www.instagram.com/__mineee1/</t>
  </si>
  <si>
    <t>Paula Pardo.</t>
  </si>
  <si>
    <t>piruja la que le hable 💁🏻‍♀️z</t>
  </si>
  <si>
    <t>Guatemala</t>
  </si>
  <si>
    <t>“No es solo vivir, es sentirse vivo”. S.M✨ 04 💛🍔</t>
  </si>
  <si>
    <t>hechiza</t>
  </si>
  <si>
    <t>Entre más delgada la ceja más piruja la vieja,entre más grande el escote más les encanta el garrote y entre más grande el tacón más rápido se baja el calzón zaz zaz</t>
  </si>
  <si>
    <t>MEX.💕</t>
  </si>
  <si>
    <t>Borja Moreno Martínez</t>
  </si>
  <si>
    <t>Pues nos acabamos de cascar media de la última temporada de Sabrina, cosas de piruja, así a lo tonto. 🧙‍♀️🧙🧹</t>
  </si>
  <si>
    <t>https://pbs.twimg.com/media/EsX_5hgW4AEGKKd.jpg</t>
  </si>
  <si>
    <t>Orihuela, España</t>
  </si>
  <si>
    <t>Guionista | Dramaturgo | Filólogo Clásico | Editor en @LNovicia | Fundación Antonio Gala para Jóvenes Creadores | @almaguionistas @CortoEspana</t>
  </si>
  <si>
    <t>https://www.sindicatoalma.es/guionista/borja-moreno-martinez-2/</t>
  </si>
  <si>
    <t>Dr. Cara Pálida</t>
  </si>
  <si>
    <t>De la oftalmologa esa ni quiero hablar. Me da tanto coraje que tantos doctores, amigos y familias estén muriendo por la pandemia y que esa estúpida en lugar de agradecer el privilegio que se le dio se haya largado a putear. Neta que no tiene madre la piruja de centavo esa...</t>
  </si>
  <si>
    <t xml:space="preserve">Solo en la mente de algunos </t>
  </si>
  <si>
    <t>Una entidad mas en esta red social. Si no te gustan mis tweets eres libre de no leerlos :)</t>
  </si>
  <si>
    <t>https://www.instagram.com/ovs_030/</t>
  </si>
  <si>
    <t>Ricardo Ruiz</t>
  </si>
  <si>
    <t>La verdadera cara de @LillyTellez Una bruja piruja, traidora, hipócrita y que le encanta ser participe de escandalos y estar envuelta en montajes. Una persona que a beneficio propio le dio la espalda a sus falsos ideales. Recuerden, lo único que se puede esperar de un traidor...</t>
  </si>
  <si>
    <t>https://pbs.twimg.com/media/EsX-KztW8AAvZfH.jpg</t>
  </si>
  <si>
    <t>Corazón de León</t>
  </si>
  <si>
    <t>Oilarra Nagusia</t>
  </si>
  <si>
    <t>La Bruja Piruja y Robotoide Aventuras de Amores Paranoides. El Capítulo 3 mucho bien todo. A bordisimo</t>
  </si>
  <si>
    <t xml:space="preserve">Iruña, Nabarra </t>
  </si>
  <si>
    <t>Frikismo o Barbarie @Fru2E</t>
  </si>
  <si>
    <t>https://www.ivoox.com/p_sq_f1670754_1</t>
  </si>
  <si>
    <t>adri ♡</t>
  </si>
  <si>
    <t>La bruja piruja y visionario.</t>
  </si>
  <si>
    <t>https://pbs.twimg.com/media/EsXuQZSXMAUPGMo.jpg</t>
  </si>
  <si>
    <t>Mucho Star Wars, cine y leche azul de Bantha.</t>
  </si>
  <si>
    <t>https://boxd.it/jyOt</t>
  </si>
  <si>
    <t>Isaías Pondem</t>
  </si>
  <si>
    <t>Ya con esto quieren justificar para andar de pinches putas y luego decir.. "que? ¿que no conoces de Mía khalifa? Su novio la acepta con todo y todo.." Pues si era una pornstar no una piruja de rancho, no se comparen, déjense de mamadas, haganme el cabrón favor!</t>
  </si>
  <si>
    <t>https://pbs.twimg.com/media/EsXV196W4AAnVXG.jpg</t>
  </si>
  <si>
    <t>escritor por afición</t>
  </si>
  <si>
    <t>ℓα Եία ճɾί́ցίժα</t>
  </si>
  <si>
    <t>Y que chinguen a su madre la piruja esa y el ramero ese.</t>
  </si>
  <si>
    <t>Chilangoyork</t>
  </si>
  <si>
    <t>Porque soy mujer... Pero no cualquiera ✊ 💪♏🏈🏀🎃👻</t>
  </si>
  <si>
    <t>Mavis.</t>
  </si>
  <si>
    <t>Saquen la piruja deben comunicarse conmigo.</t>
  </si>
  <si>
    <t>París, Francia / Amphoux. /#cr</t>
  </si>
  <si>
    <t>⠀⠀⠀⠀ 𝗦𝖾𝗋𝗲𝗇𝖽𝗶𝗉𝗂𝗮: 𝖡𝗎𝗌𝗊𝗎𝖾 𝖺𝗅𝗀𝗈 𝗍𝗈𝗍𝖺𝗅𝗆𝖾𝗇𝗍𝖾⠀ ⠀⠀ ⠀⠀ ⠀⠀ ⠀⠀𝗱𝗶𝗳𝗲𝗿𝗲𝗻𝘁𝗲 𝗒 𝖾𝗇𝖼𝗈𝗇𝗍𝗋𝖾́ 𝗅𝗈 𝗆𝖺́𝗌 𝗽𝗿𝗲𝗰𝗶𝗮𝗱𝗼.</t>
  </si>
  <si>
    <t>https://curiouscat.qa/_quilattesalv</t>
  </si>
  <si>
    <t>Alex 💛🦌</t>
  </si>
  <si>
    <t>A ver La Bruja Piruja y el Vistoso</t>
  </si>
  <si>
    <t>Málaga</t>
  </si>
  <si>
    <t>he/him. 22. QA Tester.</t>
  </si>
  <si>
    <t>https://instagram.com/akagamialex?igshid=k1o4v3wwi0yp</t>
  </si>
  <si>
    <t>A. I.</t>
  </si>
  <si>
    <t>Acompáñame a ver esta triste historia: apuñala a su esposo tras encontrarle fotos con “otra piruja”; era ella de joven. #TeMamasteLionora #RIPJuan</t>
  </si>
  <si>
    <t>https://go.squidapp.co/n/EDwwe3I</t>
  </si>
  <si>
    <t>Informático y administrador, menos FACE y más Book. Respaldo, luego existo. Budista perdido en tierra guadalupana... ME CAGA EL FUT.</t>
  </si>
  <si>
    <t>Markseid</t>
  </si>
  <si>
    <t>Ya ves @elPibitoPrecoz , la piruja eres tu.</t>
  </si>
  <si>
    <t>https://pbs.twimg.com/media/EsTY7WdVoAIWStc.jpg</t>
  </si>
  <si>
    <t>México DF</t>
  </si>
  <si>
    <t>No hay nada que ver por aquí, SÍGALE AVANZANDO.</t>
  </si>
  <si>
    <t>http://popofs.wordpress.com</t>
  </si>
  <si>
    <t>Alejandro Aguilar</t>
  </si>
  <si>
    <t>Que dijeron en la cadena piruja? Me imagino que sobre la vacuna y que debemos estar tranquilos.</t>
  </si>
  <si>
    <t>Honduras ,Tegucigalpa</t>
  </si>
  <si>
    <t>Alejandro Josué Aguilar Urbina @Motaguacom #VivaHonduras #Campeones @teofimolopez 🥊🥊</t>
  </si>
  <si>
    <t>ninotchka sotomayor</t>
  </si>
  <si>
    <t>El es un viejo cochino y aberrante, pero la muchachita otra tipa asquerosa que buscó un segundo de fama, de fama de piruja RT @SateliteAlerta: Los que defienden. #VicenteFernandez tras exhibirse el video donde toca de manera extraña a una señorita mientras posan para la foto qué onda ?? 👀</t>
  </si>
  <si>
    <t>https://twitter.com/SateliteAlerta/status/1352407646817533954</t>
  </si>
  <si>
    <t>pic.twitter.com/fQb6uV1Qwl</t>
  </si>
  <si>
    <t>satélite</t>
  </si>
  <si>
    <t>Asesora en Bienes Inmuebles</t>
  </si>
  <si>
    <t>Lara.🥀</t>
  </si>
  <si>
    <t>dios por qué me cuesta tanto ponerme al día con la gente, o sea QUIERO VOLVER A HABLAR PERO MI CABEZA REALMENTE NO ME LO PERMITE qué bronca. salud mental piruja</t>
  </si>
  <si>
    <t>Violinista.✨ ella/she/her🌈</t>
  </si>
  <si>
    <t>https://instagram.com/laraponciox?igshid=y3sd5ns9k26n</t>
  </si>
  <si>
    <t>Quina</t>
  </si>
  <si>
    <t>Acaba el día internacional del abrazo y solo he recibido uno -obviamente virtual, que no está el horno para bollos-, y encima fue compartido ¡Gracias, @victorpeme! Al resto que les caiga la maldición de Tutankamon, la de Koeman/Zizou, la de la bruja piruja y la de rata de 2 patas</t>
  </si>
  <si>
    <t>pic.twitter.com/3xy5Jgc3Bt</t>
  </si>
  <si>
    <t xml:space="preserve"> Gran Canaria</t>
  </si>
  <si>
    <t>No hay nada mejor que las miradas y sonrisas de complicidad. ¡¡¡Shhhhh!!! Me lo dijo un pajarito. Pío Pío .</t>
  </si>
  <si>
    <t>https://www.instagram.com/quinadelart/</t>
  </si>
  <si>
    <t>I S A B E L V É L E Z 🌹</t>
  </si>
  <si>
    <t>La Lucia es una piruja de categoría</t>
  </si>
  <si>
    <t>🇪🇸</t>
  </si>
  <si>
    <t>liz⁷ loves tae !</t>
  </si>
  <si>
    <t>chingue a su puta madre mi maestra de ingles vieja piruja me arruinó la vida con su pinché 8 nada más esperese a que llegue la evaluación de los maestros</t>
  </si>
  <si>
    <t>19. she/her/ella. 🇲🇽</t>
  </si>
  <si>
    <t>#BTS: fui pa' los billboard pa' los grammys y yo no te vi.</t>
  </si>
  <si>
    <t>https://curiouscat.qa/sinclairkordei</t>
  </si>
  <si>
    <t>Isi Rincón</t>
  </si>
  <si>
    <t>Me como a la piruja ajjajajajajajajaj</t>
  </si>
  <si>
    <t>Un corazon que late gritando SEVILLA ❤️</t>
  </si>
  <si>
    <t>El yolo's</t>
  </si>
  <si>
    <t>No es fácil ser la más piruja de mi familia y tener que soportar sus críticas sobre mi vida sexual🙄😒</t>
  </si>
  <si>
    <t>Minatitlán, Veracruz de Ignaci</t>
  </si>
  <si>
    <t>En este perfil no sabemos estar solos y recurrimos a la puteria. Me gustan los gatos y la playa. |71% de publirrelacionista.</t>
  </si>
  <si>
    <t>Papelerita</t>
  </si>
  <si>
    <t>El estando así de guapo always y yo pareciendo la bruja piruja con los pelos que llevaba por culpa del viento jajajaa, en fin es mi amigo y le admiro RT @jorgellopsuay: En clase noseq</t>
  </si>
  <si>
    <t>https://twitter.com/jorgellopsuay/status/1352224071187111936</t>
  </si>
  <si>
    <t>https://pbs.twimg.com/media/EsQQnmGW4AIh_bj.jpg</t>
  </si>
  <si>
    <t>Danifa</t>
  </si>
  <si>
    <t>La agrego a la lista de imbeciles que no saben que soy mujer cisgenero xD Callese vieja piruja, y deje de defender a gente que pone CP en twt. RT @LupitaGutt: AJSJSJSJSJSjajsjaJAAJAJJAJAJA yo invento dice la confundida, ni siquiera sabe si es transformer</t>
  </si>
  <si>
    <t>https://twitter.com/LupitaGutt/status/1351908288263237632
https://twitter.com/Dan_ifa/status/1351793484991139842</t>
  </si>
  <si>
    <t>A Wonderworld</t>
  </si>
  <si>
    <t>Sigo atendiendo bolud*s. Cita pendejadas para ver en los directos con #MemesParaDanifa :) Info: #DanifaBlog #DanifasBlog</t>
  </si>
  <si>
    <t>https://danifasblog.wordpress.com</t>
  </si>
  <si>
    <t>hanna (pero en español)</t>
  </si>
  <si>
    <t>esta se la dedico a danna paola, porfa responde chula 💕</t>
  </si>
  <si>
    <t>https://pbs.twimg.com/media/EsPFcpfUwAA-r5o.jpg</t>
  </si>
  <si>
    <t>lost in Griffin's ass</t>
  </si>
  <si>
    <t>I don't think y'all understand, I'm just trynna fuck. || reed '23 (im sorry) || (she/her)</t>
  </si>
  <si>
    <t>Red Menace. ® ©</t>
  </si>
  <si>
    <t>Miserable es dejar a niños enfermos de cáncer sin medicamentos. Y allí están tu y la piruja esa lamiendole el escroto al anciano. RT @eltiopi: @c4jimenez @sandyaguilera Veo que lxs opsitores de la 4T se dan gusto y festejan, se nota la intención, bola de miserables.</t>
  </si>
  <si>
    <t>https://twitter.com/eltiopi/status/1352093461894352898</t>
  </si>
  <si>
    <t xml:space="preserve">Your Wet Dreams </t>
  </si>
  <si>
    <t>Aki zomos 100% pura jente del señor HAYEK alv plebes!!.</t>
  </si>
  <si>
    <t>Ximena Rodriguez</t>
  </si>
  <si>
    <t>Alch no quería tatuarme las piernas porque mi jefa siempre me dice que es de putas. ¿Y qué crees?, su hija será la más piruja con un tattoo de 34 cm en medio muslo</t>
  </si>
  <si>
    <t>https://pbs.twimg.com/media/EsOci_NXIAIO-d-.jpg</t>
  </si>
  <si>
    <t>Solo un cuerpo más</t>
  </si>
  <si>
    <t>𝓒𝓲𝓷🌵</t>
  </si>
  <si>
    <t>Siempre he tenido la duda de qué diferencia hay entre una puta y una piruja. ¿Alguien sabe? Porque según me han dicho, la diferencia está en que las putas cobran y las pirujas no, pero idk esa respuesta no me llena del todo.</t>
  </si>
  <si>
    <t>This woman is on fire 🔥 I'm Sarah's whore</t>
  </si>
  <si>
    <t>K-Pop Corean Black Cop Killer ✊🤟</t>
  </si>
  <si>
    <t>Certificación venía en la mascarilla KN95 que compré. ¿Será real o chamuyo? Esto de usar mascarillas chinas y no saber si la wea es piruja o no...</t>
  </si>
  <si>
    <t>https://pbs.twimg.com/media/EsNUPnnW4AkY_qA.jpg</t>
  </si>
  <si>
    <t>Patipelao, quiltro y callejero. Gueno pa las marchas y buscando mayor equidad social para los abandonados del país.</t>
  </si>
  <si>
    <t>kevinuchis</t>
  </si>
  <si>
    <t>la forma en q me han considerado una piruja desde que tengo 13 años... RT @mejialupita_12: Kevin zorrilla desde chiquilla</t>
  </si>
  <si>
    <t>https://twitter.com/mejialupita_12/status/1351968527931072512</t>
  </si>
  <si>
    <t>https://pbs.twimg.com/media/EsMoNSRXIAM1gQ8.jpg</t>
  </si>
  <si>
    <t>Chromatica, Mich.</t>
  </si>
  <si>
    <t>✿ Alto, chino y joto ✿</t>
  </si>
  <si>
    <t>http://Instagram.com/kevinvalladares/</t>
  </si>
  <si>
    <t>Ulrico 🇦🇷</t>
  </si>
  <si>
    <t>PArecve que la piruja quiere renovar todo Límites Constitución Nacional Escudo BAndera Menos celestes. que eran el color de la Virgen Rojo ROJO y más ROJO "porque me prometieron hacerme emperadora. Yo Emperadora... " "Me temerán más que a Dios. ¡Ya van a ver!" RT @StoccoSabina: BOMBAZO !! Base rusa a cambio de las "vacunas"???? Después un funcionario de Kicillof denuncia q PFIZER pedía los glaciares? Y los q hablan todo el día de "Colonialismo"?? UNA BASE CHINA Y OTRA RUSA?</t>
  </si>
  <si>
    <t>https://twitter.com/StoccoSabina/status/1351712791300812805
https://twitter.com/Alecbascbas/status/1351684398660390920</t>
  </si>
  <si>
    <t xml:space="preserve">Bell buco del culo del mondo </t>
  </si>
  <si>
    <t>hanno la faccia malandrina, si sta spogliando un’odalisca è già da un’ora che lo fa... esasperante il suo languore ¡AIUTO!</t>
  </si>
  <si>
    <t>Baileys la mujer Marihuaña🌬</t>
  </si>
  <si>
    <t>El mame de la cartulina nunca lo entendí porque mi awelita la que me crió tenía tiendita de todo, nunca me faltó nada. No sé porqué anduve de piruja.😅 RT @_babyblood: este mame de la cartulina me da oso porque DE VERDAD ERAN TAN INÚTILES PARA QUE SE LES OLVIDARAN ESAS COSAS?? jajaja yo nunca les hice eso a mis papás entonces supongo que cuando tenga hijos ni de pedo voy a ir a corriendo a conseguirla, que se aguanten xd</t>
  </si>
  <si>
    <t>https://twitter.com/_babyblood/status/1351969729339150340</t>
  </si>
  <si>
    <t>pic.twitter.com/oI0NmqeWQB</t>
  </si>
  <si>
    <t>Quiero abrir onlyfans y que me vean fumando mota a lo desgraciado. +18 Fui viral practicando poledance, salí en Netflix 3 seg y ya es lo único reconocible aquí.</t>
  </si>
  <si>
    <t>https://youtube.com/channel/UC3hYGWo-bdDvUjO6YymbZCQ</t>
  </si>
  <si>
    <t>Terna Garfield</t>
  </si>
  <si>
    <t>Hasta mi gato canta mejor que JLO y la piruja de Lady Vaga</t>
  </si>
  <si>
    <t xml:space="preserve">La Encerrona </t>
  </si>
  <si>
    <t>Tuitero expulsado por ser excesivamente cachinero. En parler: @Droopy46</t>
  </si>
  <si>
    <t>Magali🍑</t>
  </si>
  <si>
    <t>Que asco que entre familia se tapen sus cochinadas. Tanto que se llenó la boca diciendo que yo era esto y otro, al igual con mi mamá, y salió peor la vieja piruja.</t>
  </si>
  <si>
    <t>Durango | San Luis Potosi</t>
  </si>
  <si>
    <t>mom | wife</t>
  </si>
  <si>
    <t>Ludovico Settembrini</t>
  </si>
  <si>
    <t>De dónde sacaron esa analogía falopa entre Harris y la viuda de Kirchner? Ni siquiera se molestaron en abrir el artículo de Wikipedia? Como vas a comparar a la piruja con alguien que, para empezar, es abogada de verdad y fue AG de California?</t>
  </si>
  <si>
    <t>Si no nos reímos de estos tipos nadie va a venir a hacerlo por nosotros.</t>
  </si>
  <si>
    <t>Cada cual puede postular al cargo que quiera ,asi como cuaquiera puede votar o no ? Eso es lo lindo de la democracia, resulta lo que mas hablan de la dictadura, no son capaces de respetar la democracias</t>
  </si>
  <si>
    <t>Samuel Rodríguez</t>
  </si>
  <si>
    <t>Mucho habláis de Kiko Rivera,pero la cara de bruja piruja en la portada de Mila Ximénez es oro.</t>
  </si>
  <si>
    <t>https://pbs.twimg.com/media/EsLnugJXcAE-cgF.jpg</t>
  </si>
  <si>
    <t xml:space="preserve">Dentro </t>
  </si>
  <si>
    <t>Fantasmagórico Horripilante</t>
  </si>
  <si>
    <t>#The Minister</t>
  </si>
  <si>
    <t>Y la única propuesta de la piruja tóxica @berthamariaD es evitar la candidatura de @waraujo64 !!😅😅</t>
  </si>
  <si>
    <t>sistemas informáticos. pensando en un futuro diferente.</t>
  </si>
  <si>
    <t>Charlotte 🖤🇪🇸</t>
  </si>
  <si>
    <t>84.000 muertos, habéis hablado de ello? La mitad son mujeres. Bruja piruja!! RT @IreneMontero: Nos hemos reunido con la Plataforma Universitaria de Estudios Feministas y de Género para avanzar en el reconocimiento de la importancia de los estudios feministas y de género. Gracias por vuestro trabajo. Compartimos objetivo y seguiremos trabajando juntas.</t>
  </si>
  <si>
    <t>https://twitter.com/IreneMontero/status/1351591516674916353</t>
  </si>
  <si>
    <t>https://pbs.twimg.com/media/EsHRFV5WMAMltcW.jpg</t>
  </si>
  <si>
    <t>Bruja Pirujen</t>
  </si>
  <si>
    <t>Entiendo más a los que roban la vacuna que a quienes no se la quieren poner.</t>
  </si>
  <si>
    <t>Daniel Eduardo 🕺</t>
  </si>
  <si>
    <t>Busca Quien Te Ponga Hielo De La Gasolinera Piruja :v a vaya. RT @Rackiminchy: Sos buen Hondureño si entendes esto: 🧚‍♀️BQTPHDLGP✨</t>
  </si>
  <si>
    <t>https://twitter.com/Rackiminchy/status/1351730943376166912</t>
  </si>
  <si>
    <t>Tegucigalpa</t>
  </si>
  <si>
    <t>rie ama y odia mientras podas.</t>
  </si>
  <si>
    <t>David, el viejo culero</t>
  </si>
  <si>
    <t>La reina de la pandemia? Yo veo.oura piruja Debería de llamarse la reina de las putas</t>
  </si>
  <si>
    <t xml:space="preserve">Waterhole, country of Tecamac </t>
  </si>
  <si>
    <t>EXPERTO CASI EN TODO Ganador tres veces del título mejor tuitero de ojo de agua Instructor del baile prohibido La lambada de jueves a domingo únicamente</t>
  </si>
  <si>
    <t>catadora de pitos🧚🏻‍♀️</t>
  </si>
  <si>
    <t>Solicito una nueva mejor amiga que sea piruja, la que tenía ya se enculo</t>
  </si>
  <si>
    <t>𝑴𝒂𝒓𝒊𝒂 🏜 𝚊𝚚𝚞𝚎𝚕𝚕𝚘𝚜 𝚌𝚘𝚖𝚘 𝚢𝚘</t>
  </si>
  <si>
    <t>La lucia de latin y griego aka la bruja piruja always: RT @Emilian0Diaz: abuela: y disculpenme por la palabra que voy a decir la palabra:</t>
  </si>
  <si>
    <t>https://twitter.com/Emilian0Diaz/status/1351247266472931328</t>
  </si>
  <si>
    <t>https://pbs.twimg.com/media/EsCYOihXUAIKFbA.jpg</t>
  </si>
  <si>
    <t>El Baix Llobregat</t>
  </si>
  <si>
    <t>alfred me dijo que 360 era una canción pasada, pero ahora la tengo en un discos, en un dvd, en spotify y la he escuchado en directo. me apasionan las catedrales</t>
  </si>
  <si>
    <t>https://twitter.com/avionsinfrenos/status/1349511848077488129?s=21</t>
  </si>
  <si>
    <t>Yahiko</t>
  </si>
  <si>
    <t>Q bonita la palabra piruja</t>
  </si>
  <si>
    <t>Chihuahua, México</t>
  </si>
  <si>
    <t>♕OFarrell♕ 🎊2021🎊</t>
  </si>
  <si>
    <t>Cuanta falta de autoestima te cargas.. sentirte la última Coca Cola del desierto y no ser más que una piruja frustrada! #EnFin #CosasDeLaVida</t>
  </si>
  <si>
    <t>Nankurunaisa</t>
  </si>
  <si>
    <t>Si te pudieras tragar tus palabras, ¿tu alma sería nutrida o envenenada? ¡QUE IMPORTANTE ES LA CALIDAD DE LOS PENSAMIENTOS! ♕</t>
  </si>
  <si>
    <t>http://MoonGoddess.com</t>
  </si>
  <si>
    <t>Angie 🐾❄️</t>
  </si>
  <si>
    <t>¿Nombres para esta bruja piruja? La negra 🖤</t>
  </si>
  <si>
    <t>https://pbs.twimg.com/media/EsHIedEW4AEM1RE.jpg</t>
  </si>
  <si>
    <t>Soy de los campos de Andalucía</t>
  </si>
  <si>
    <t>I have the anger of a much taller woman ✨ 💗💜💙</t>
  </si>
  <si>
    <t>凡乚乃モ尺イロ ☁️🌙🍬</t>
  </si>
  <si>
    <t>Me caga que cuando mencionan a Ken¡a en TODO mencionan a la otra vieja piruja 👺</t>
  </si>
  <si>
    <t>https://pbs.twimg.com/media/EsHAp3SUwAIe449.jpg</t>
  </si>
  <si>
    <t>Team Ungrateful</t>
  </si>
  <si>
    <t>Escucha el nuevo EP de Kenia ⬇️ https://open.spotify.com/user/22gsqpm34njzsjzprezerknyq/playlist/5tcwzgXplpdLaKzI1f62I1?si=tUBIE0DRQ5CiqjL7JrgPWQ</t>
  </si>
  <si>
    <t>𝖢𝖠𝖬𝖨𝖫𝖫𝖤.🤍</t>
  </si>
  <si>
    <t>hoy es cumpleaños de la vieja piruja que más amo y este es solo un tweet de apreciación para decirle que es lo que más amo y que mi corazoncito valora tenerla en mi vida.🤍</t>
  </si>
  <si>
    <t>A,T,V,D,N</t>
  </si>
  <si>
    <t>♡ 𝖽𝖺𝗆𝖺 𝖿𝗋𝖺𝗇𝖼𝖾𝗌𝖺, 𝖼𝗈𝗇 𝗉𝗋𝗈𝖿𝗎𝗇𝖽𝗈𝗌 𝗈𝗃𝗈𝗌 𝗏𝖾𝗋𝖽𝖾𝗌 𝖼𝗈𝗆𝗈 𝖾𝗌𝗆𝖾𝗋𝖺𝗅𝖽𝖺𝗌, 𝖾𝗇𝖺𝗆𝗈𝗋𝖺𝖽𝖺 𝖽𝖾 𝗅𝖺 𝗁𝗂𝗌𝗍𝗈𝗋𝗂𝖺</t>
  </si>
  <si>
    <t>Sabian ustedes que si el aborto existiera ,la primera linea no existiría. Eso me hace replantearme mi opinion sobre este tema.</t>
  </si>
  <si>
    <t>Jose Trinidad Cabañas MMXXI 🇭🇳</t>
  </si>
  <si>
    <t>En fin, la hipotenusa piruja 🙃</t>
  </si>
  <si>
    <t>https://pbs.twimg.com/media/EsENg5hXAAYdoQc.jpg</t>
  </si>
  <si>
    <t>Rep. Federal de Centroamérica</t>
  </si>
  <si>
    <t>...Y vosotros me llamaréis para emplear mi espada a favor de vuestra libertad. / Paladín de los #HONestos / En honor a la memoria del Prócer de la Honestidad 🇭</t>
  </si>
  <si>
    <t>Fer_Robles</t>
  </si>
  <si>
    <t>Me cae gorda la ñora güera que come cereal y da consejos bien machistas y así. Neta qué onda con las morras que quieren que las aconseje alguien que le dice "piruja" y así a otra chava... Ñora nadaqueverienta</t>
  </si>
  <si>
    <t>| CDMX | FFyL - Pedagogía | ♡ | 26 yrs old | xbox GT: lParadise AF |</t>
  </si>
  <si>
    <t>ING🌈</t>
  </si>
  <si>
    <t>VIEJA PIRUJA CÓMO SE ATREVE A PATEAR A UN PERRITO QUE MUEVE LA COLITA😡😡😡 RT @JuanCBQp: A los de Forsay no les gustan los animales.</t>
  </si>
  <si>
    <t>https://twitter.com/JuanCBQp/status/1351288150195392515</t>
  </si>
  <si>
    <t>pic.twitter.com/5RZlXSVHeR</t>
  </si>
  <si>
    <t>Moyobamba, Peru</t>
  </si>
  <si>
    <t>📝📚💀 Amante de las causas justas🍃</t>
  </si>
  <si>
    <t>La del nombre raro</t>
  </si>
  <si>
    <t>Estoy escuchando una versión alternativa de Hansel y Gretel...jajaja y pues ya le espanté el sueño al criaturo de tanto que me he reído cada vez que dicen “la vieja piruja” en lugar de La bruja</t>
  </si>
  <si>
    <t>Santiago Metropolitan Region, Chile</t>
  </si>
  <si>
    <t>Veo gente muerta 🥼💀 🩸🔪, hablo español chileno y mexicano.</t>
  </si>
  <si>
    <t>kevin Prieto Prófugo</t>
  </si>
  <si>
    <t>Cuando una mujer violenta a otra llamándola “zorra”, “piruja”, “gata” etc ¿cómo le hacen la feministas para saber que bando tomar?</t>
  </si>
  <si>
    <t>M San Cosme</t>
  </si>
  <si>
    <t>Creo en la Teoria de la Evolucion de Peter Griffin</t>
  </si>
  <si>
    <t>Twitter Query: C0jer Ella OR La OR Ellas -Ellos -EL -filter:retweets -filter:replies</t>
  </si>
  <si>
    <t>Rosé solo✨</t>
  </si>
  <si>
    <t>que perro asco que se dirijan así a las mujeres, "te la quieres c0jer" "la quieres agarrar" NO SOMOS SUS PUTOS PRODUCTOS!!! RT @haroldazuara: Si me dijeron y no me di cuenta, me siento culpable, perdón.</t>
  </si>
  <si>
    <t>https://twitter.com/haroldazuara/status/1352752131057594370
https://twitter.com/angelelian_/status/1352746276996206600</t>
  </si>
  <si>
    <t>🍂 👑⁷¹²¹⁷⁸ All my love is gone</t>
  </si>
  <si>
    <t>http://namjoon.xn--l9h</t>
  </si>
  <si>
    <t>Froppy.</t>
  </si>
  <si>
    <t>*Un hombre simpatiza con una mujer que sufrió acoso* Un pendejo: “yA wEy n0 tE la vAs a C0jeR”</t>
  </si>
  <si>
    <t>Invernalia.</t>
  </si>
  <si>
    <t>🖤💚</t>
  </si>
  <si>
    <t>padme amígdala</t>
  </si>
  <si>
    <t>9 de la mañana y con una amiga hace 1 hora que venimos hablando sobre c0jer somos esta imagen🥴</t>
  </si>
  <si>
    <t>https://pbs.twimg.com/media/EsGAVnDWMAI6t8e.jpg</t>
  </si>
  <si>
    <t>Cordoba,Argentina</t>
  </si>
  <si>
    <t>If the love doesn't feel like Africa by toto I don't want it</t>
  </si>
  <si>
    <t>http://instagram.com/vickyrivero8</t>
  </si>
  <si>
    <t>Twitter Query: Pvta Ella OR La OR Eres lang:es -filter:retweets -filter:replies</t>
  </si>
  <si>
    <t>Killer_RMHopeJk</t>
  </si>
  <si>
    <t>-Amor Traes La Etiqueta De La Blusa Por Fuera -Metamela Porfavor -Por Eso Me Gustas, Por Caliente Hija De Pvta -Pero Yo Deci... Ah~ Duro Papi</t>
  </si>
  <si>
    <t>papi salvaje</t>
  </si>
  <si>
    <t>La pvta democracia es una religión RT @churfer_rai: Cuando sus nietos le pregunten por qué falleció tanta gente durante la crisis del coronavirus, recuerden que la política siempre estuvo por encima de la vida.</t>
  </si>
  <si>
    <t>https://twitter.com/churfer_rai/status/1354165155286941696</t>
  </si>
  <si>
    <t>https://pbs.twimg.com/media/Esr1_KNXYAAIhlI.jpg</t>
  </si>
  <si>
    <t xml:space="preserve">Mérida - Bristol </t>
  </si>
  <si>
    <t>Todo con moderación</t>
  </si>
  <si>
    <t>Nèstor</t>
  </si>
  <si>
    <t>"Es una tendencia en la sociedad. Queremos mas flexibilidad, (...) Queremos quizás tener tres trabajos..." NO TE VEIG JO A TU FREGANT ESCALES EN EL TEU TEMPS LLIURE, FILL DE PVTA. BEN COMODO VIUS TU AMB EL TEU SOU DE DIRECTIU, DESGRACIAT... RT @josepjulien: Sense cap ànim de fomentar la violència ni l’odi de classe, aquestes didàctiques i il·lustratives declaracions del jefe de Glovo, trobo que podrien perfectament ser contaargumentades amb una patada a la boca administrada amb unes doc Martens punta d’acer.</t>
  </si>
  <si>
    <t>https://twitter.com/josepjulien/status/1354107038834585600</t>
  </si>
  <si>
    <t>pic.twitter.com/hBoiIxnFGR</t>
  </si>
  <si>
    <t>País Valencià, Països Catalans</t>
  </si>
  <si>
    <t>26 anys. Marika. Tècnic impressor en arts gràfiques. LOVG com a mode de vida. ||València | Vinaròs | Celrà|| ☭</t>
  </si>
  <si>
    <t>◖Paper_Live◗</t>
  </si>
  <si>
    <t>chao, me cae mal Reb, no pago más la pvta sub y lo que conlleva.</t>
  </si>
  <si>
    <t>☄He/She☄ 👔Trajeado👔 ✨No esperes mucho de mi, le lloro a pixeles y a un señor con traje.✨ *:..｡o○Me gusta escribir○o｡..:*</t>
  </si>
  <si>
    <t>ᥲᥒdrᥱᥱᥲ♡</t>
  </si>
  <si>
    <t>Pvta Tsunade, pa una apuesta que gana y es con el precio de la vida de Jiraiya😭 RT @narxuto: A few minutes before the tragedy 💔</t>
  </si>
  <si>
    <t>https://twitter.com/narxuto/status/1354148372165308417</t>
  </si>
  <si>
    <t>https://pbs.twimg.com/media/EsrmQIJXUAAIdA8.jpg</t>
  </si>
  <si>
    <t>Prox Valencia</t>
  </si>
  <si>
    <t>⠀⠀⠀⠀⠀⠀⠀⠀⠀⠀ ⠀🍊Nαмι🍊 ✈️Azafata de vuelo✈️ Tengo muchos novios 2D, no me escondo👉👈</t>
  </si>
  <si>
    <t>Camelia Villalobos</t>
  </si>
  <si>
    <t>Ya empezaron a llorar los fachos kls pvta wn k me hacen reir estos weones fascistas XDD sigan llorando como bb vayanse a la lloreria y era 😎🤣🤣🤣🤣🤣🤣🤣🤣🤣🤣🤡🤡🤡🤡🤡🤡🤡💩💩💩💩💩 #FueraFernandezDeChile</t>
  </si>
  <si>
    <t>http://instagram.com/xgenesis99x #CHILEDESPERTÓ Patria o Muerte! Feminista del apruebo 😎 Fuego a los fachos🔥 #DANIELJADUEELORGULLODECHILE! #JaduePresidente🇨🇱💪🏻🔥</t>
  </si>
  <si>
    <t>Chicken Little</t>
  </si>
  <si>
    <t>Tamo al ritmo perro la re pvta madre que los re pario</t>
  </si>
  <si>
    <t>REAL HASTA LA MUERTE</t>
  </si>
  <si>
    <t>Twitch.tv V4Nangel</t>
  </si>
  <si>
    <t>Yo ayer platicando en stream la situación que le dijeron pvta a una streamer que me cae mal: Pos se pasaron de verga, pero yo me quedo callado al respecto, me caerá muy mal la morra, pero... Pero pos me cae mal, en lo personal no diría algo que la ofenda pero si me cae del culo</t>
  </si>
  <si>
    <t>Twitch</t>
  </si>
  <si>
    <t>Soy una mamada de streamer y por eso tienes que ver mis streams si o si carnal</t>
  </si>
  <si>
    <t>http://www.twitch.tv/V4Nangel?sr=a</t>
  </si>
  <si>
    <t>Cafeinómano™️ ✠</t>
  </si>
  <si>
    <t>Irantzu Varela, lo tiene to': atea, feminista, pvta, b0llera, gorda y ácrata (se define así ella misma). Vaya, pero no eres racializada (negra/m0ra). No eres lo suficientemente progre. Next, por facha! RT @LaFuriaRap: Irantzu Varela #pecadora “Soy pecadora por atea, por feminista, por puta, por bollera, por gorda, por hacer lo que me sale del coño, por saber que mi cuerpo es más que mi coño,por saber que hay mujeres sin coño. Soy pecadora.” @IrantzuVarela 💜 #lafuria #comunidadpecadora</t>
  </si>
  <si>
    <t>https://twitter.com/LaFuriaRap/status/1212691744921403392</t>
  </si>
  <si>
    <t>pic.twitter.com/lvEQKk64k4</t>
  </si>
  <si>
    <t>Sur de las Españas</t>
  </si>
  <si>
    <t>Contemplando la Existencia con vista, ciencia y paciencia. Presunto (y confeso) eremita. ✠</t>
  </si>
  <si>
    <t>Jesús Escanilla</t>
  </si>
  <si>
    <t>La nueva normalidad es una pvta m¡erda, solo en mentes enfermas y cerebros destrozados cabe pensar esas barbaridades, progres.......sois ¡mbéc¡les. RT @Tonicanto1: Disney bloquea tres películas a menores de 7 años por racistas: Peter Pan por llamar a los indios, pieles rojas. Los aristogatos por un gato con ojos rasgados, una caricatura de los asiáticos. Dumbo por sacar afroamericanos esclavizados. ¡Toma ya!🤦‍♂️</t>
  </si>
  <si>
    <t>https://twitter.com/Tonicanto1/status/1354000231638196224
https://www.huffingtonpost.es/entry/disney-bloquea-por-racismo-dumbo-peter-pan-y-los-aristogatos-para-menores-de-7-anos_es_600ea626c5b6fe97669e0eaa?ncid=other_twitter_cooo9wqtham&amp;utm_campaign=share_twitter</t>
  </si>
  <si>
    <t>El Preso</t>
  </si>
  <si>
    <t>Jajaja qué hijo de pvta que es Macri, entrás a la página de la fundación y no tiene ni una sección. 3 tweets (textos muy cortitos) con 3 imágenes, y otra triada igual pero con párrafos. Y con eso le alcanza pa lavar los millones que se bicicleteó con los compañeros del newman 🤦</t>
  </si>
  <si>
    <t>Conurbano Africanizado</t>
  </si>
  <si>
    <t>"Eran tan vigilantes que se espiaban entre ellos"</t>
  </si>
  <si>
    <t>🌺ᶜʰⁱʲᵘ🌺</t>
  </si>
  <si>
    <t>Y apenas me entero de esto, me cago en la pvta RT @ISayMamammooo: moomoos falta 1 hora, espero verlos ahí Mamamoo vocal queens #MAMAMOO #마마무 @RBW_MAMAMOO</t>
  </si>
  <si>
    <t>https://twitter.com/ISayMamammooo/status/1354081796447744005</t>
  </si>
  <si>
    <t>https://pbs.twimg.com/media/EsqqMeIXMAI40Pe.jpg</t>
  </si>
  <si>
    <t>♡ -Biyín, Auron, Violeta, Karchez, Lanita- ♡</t>
  </si>
  <si>
    <t>https://Twitter.com/BiyinUpdates</t>
  </si>
  <si>
    <t>ElTresPiernas🏴</t>
  </si>
  <si>
    <t>Se lo pedí prestado a una familiar feminista. Veamos la """blackpill""" de las envras, aunque seguro será pvta mierda</t>
  </si>
  <si>
    <t>https://pbs.twimg.com/media/Esq-qvAXEAAVq-U.jpg</t>
  </si>
  <si>
    <t>no c, weno sí pero no wa desir</t>
  </si>
  <si>
    <t>Blackpiller//Melodeath guitarist//Ex feministo//mra?//basado algunos dicen que soy nazi, otros que soy conserva y últimamente que soy progre authleft antisoya</t>
  </si>
  <si>
    <t>densa barril 🐳</t>
  </si>
  <si>
    <t>ME CAGO EN LA PVTA RT @IbaiLlanos: ojo lo que me acaba de llegar</t>
  </si>
  <si>
    <t>https://twitter.com/IbaiLlanos/status/1354071902755680258</t>
  </si>
  <si>
    <t>https://pbs.twimg.com/media/EsqhNvfXMA0I48-.jpg</t>
  </si>
  <si>
    <t>desde q vi ammonite no volví a ser la misma</t>
  </si>
  <si>
    <t>Vᴏηηchis♡</t>
  </si>
  <si>
    <t>Y en las pedas con sus amigos se la pasan hablando de "Esa vieja es bien pvta, no vale la pena, si suelta no?, A mí me contaron que se la dió fulanito, se ah de mover rico" hasta los quiero etiquetar RT @iLizie: Mmm los vatos que están a favor de el “yo te creo” y por otro lado controlan, chantajean y manipulan a su pareja????</t>
  </si>
  <si>
    <t>https://twitter.com/iLizie/status/1354101429204615175</t>
  </si>
  <si>
    <t>Guanajuato, Mexico. 🇲🇽</t>
  </si>
  <si>
    <t>¿Desde cuándo los veganos comen pollo frito?</t>
  </si>
  <si>
    <t>Javier Pilar</t>
  </si>
  <si>
    <t>Pvta nostalgia se me salió la lagrimita</t>
  </si>
  <si>
    <t>https://youtu.be/aK4JSwhdcdE</t>
  </si>
  <si>
    <t>Soul vessel</t>
  </si>
  <si>
    <t>ᴮᴱDay⁷❖🌱</t>
  </si>
  <si>
    <t>La hija de pvta de mi hermana no me despertó para ver por última vez a moonbyul en avengirls 😭 @RBW_MAMAMOO</t>
  </si>
  <si>
    <t xml:space="preserve">𝑽𝒎𝒊𝒏 ❣ </t>
  </si>
  <si>
    <t>━─━─ 𝙱𝚊𝚗𝚐𝚝𝚊𝚗 ˖°⸙ 𝙼𝚊𝚖𝚊𝚖𝚘𝚘 ──━─━ ᶠᵃⁿ ᵃᶜᶜᵒᵘⁿᵗ</t>
  </si>
  <si>
    <t>https://wheesa.xn--imb/</t>
  </si>
  <si>
    <t>an is listening</t>
  </si>
  <si>
    <t>EL TATUAJE Y LA MANO DOY PVTA</t>
  </si>
  <si>
    <t>https://pbs.twimg.com/media/Esq7Y_sXYAAiYuo.jpg</t>
  </si>
  <si>
    <t>🇻🇪</t>
  </si>
  <si>
    <t>lo repetiré mucho para no repetirlo nunca más. -ar -fan account</t>
  </si>
  <si>
    <t>@✝️0️⃣Ⓜ️YN🅰️🅱️🅾️ III 👑 de España</t>
  </si>
  <si>
    <t>Mejor financiar un panfleto a una chvpapollas acosada por un vicepresidente que se calla como una pvta cuando la colocan. RT @DinaBousselham: El problema no es que la tauromaquia guste o deje de gustar (para mí es una forma de maltrato animal). El tema es financiarla con dinero público en un momento tan difícil para el sector público, sobre todo para la sanidad. Otra ofensiva lamentable de la derecha madrileña.</t>
  </si>
  <si>
    <t>https://twitter.com/DinaBousselham/status/1354046574339493888</t>
  </si>
  <si>
    <t>Tercera cuenta que me tira Twitter. Real Zaragoza - Héroes del Silencio. Izquierda 💩💩💩</t>
  </si>
  <si>
    <t>Álvaro</t>
  </si>
  <si>
    <t>5. El ciudadano se caga en la pvtà madre de RTVE y del siniestro comisariado político que la pastorea. 6. El ciudadano es acusado de delito de odio. Se me ocurren más finales para la historia, pero los contempla el Código Penal. RT @Javier_Torrox: Relación cronológica de hechos: 1. Un ciudadano paga impuestos. 2. RTVE se financia con esos impuestos. 3. Ese ciudadano dice lo que le da la gana. 4. RTVE utiliza sus recursos para señalar a ese ciudadano por razones ideológicas. Está sucediendo y sólo acaba de empezar.</t>
  </si>
  <si>
    <t>https://twitter.com/Javier_Torrox/status/1353996856636960771
https://twitter.com/rtve/status/1353830505955864578</t>
  </si>
  <si>
    <t>A este paso... Covadonga</t>
  </si>
  <si>
    <t>La première de toutes les forces qui mènent le monde est le mensonge. J.F.Revel.</t>
  </si>
  <si>
    <t>ً hann★</t>
  </si>
  <si>
    <t>como rompe las pelotas no se cansa de romper las pelotas todo el dia rompiendo las pelotas es una rompe pelotas recibi la confirmacion de mis pelotas rotas de lo rotas que tengo las pelotas rotas por estos rompe pelotas hija de re mil pvta y la re concha de todas sus madres</t>
  </si>
  <si>
    <t xml:space="preserve"> ✿. . .  🔌 🩹𝖩𝖨𝖬𝖨𝖭 ★❔とこワオそし 𝖣𝖠𝖧𝖸𝖴𝖭  ˶ᵔᵕᵔ˶  𝗕𝗔𝗡𝗚𝗧𝗪𝗜𝗖𝗘 (S!HER) エイタワオの アンョン プレゼント ♥︎ 🧷 % おとこワオ</t>
  </si>
  <si>
    <t>http://jaehyun.xn--yfh</t>
  </si>
  <si>
    <t>Javi</t>
  </si>
  <si>
    <t>Pov: eres un hijo de la gran pvta RT @Aracuan_: @ridersxderechos @Glovo_ES Pues creo que lo que dice no es ninguna barbaridad. Los trabajos no tienen que ser todos para los mismos perfiles, ni todos tienen que ofrecer la misma estabilidad. Es bastante interesante que la empresa te permita trabajar en cualquier ciudad en la que opere. Pocas lo hacen.</t>
  </si>
  <si>
    <t>https://twitter.com/Aracuan_/status/1353778747829321728</t>
  </si>
  <si>
    <t xml:space="preserve">Soto del Real </t>
  </si>
  <si>
    <t>RO👑💙 Intento de tuitero de éxito y vendedor de dopamina Fascinante a tiempo completo "El dolor es temporal, la gloria es eterna "</t>
  </si>
  <si>
    <t>Me pregunta mi madre si Agustín Pantoja es gay? No tengo ni pvta idea. Pd: sí, mi madre es una Charo andaluza que ve Sálvame y, mientras me preparo el café vespertino, ella me comenta p0lladas.</t>
  </si>
  <si>
    <t>Fernando</t>
  </si>
  <si>
    <t>Mientras algunos hijos de pvta juegan a ser candidatos y presidentes, la gente se muere.</t>
  </si>
  <si>
    <t>Barcelona, España</t>
  </si>
  <si>
    <t>💞KINO DAY💞</t>
  </si>
  <si>
    <t>Se me callaron 1000 en la calle y justo se los vi agarrándolos una señora jsjjsjs no pvta</t>
  </si>
  <si>
    <t>Hyunggu ♡</t>
  </si>
  <si>
    <t>ᴾᴱᴺᵀᴬᴳᴼᴺ ꒱࿐♡ ˚.*ೃ WEi</t>
  </si>
  <si>
    <t>https://GOT7andEXO.xn--55h/</t>
  </si>
  <si>
    <t>Oliver Tuit</t>
  </si>
  <si>
    <t>A quién te has llevado es a nuestros seres queridos. Hijo de la grandísima pvta. RT @elmundoes: Illa se despide del Ministerio de Sanidad: "Me llevo conmigo a las familias que han perdido a un ser querido"</t>
  </si>
  <si>
    <t>https://twitter.com/elmundoes/status/1354072354868101120</t>
  </si>
  <si>
    <t>pic.twitter.com/Bmd2Q9TkWI</t>
  </si>
  <si>
    <t>Pinarejo, QNK</t>
  </si>
  <si>
    <t>He bebido, follado y peleado más que todos vosotros. Además he leído más, he cazado más osos y he roto más articulaciones, así que no me jodáis.</t>
  </si>
  <si>
    <t>moon</t>
  </si>
  <si>
    <t>dejen de poner emojis la pvta q los parió #LauritaConduciendoLAM</t>
  </si>
  <si>
    <t>TTs</t>
  </si>
  <si>
    <t>la gente que esta aburrida o al pedo va al gimnasio</t>
  </si>
  <si>
    <t>𝘄𝘆. ᶠᵐᵎᵃᵘ</t>
  </si>
  <si>
    <t>eva pvta de la que me libré JAJAJ</t>
  </si>
  <si>
    <t xml:space="preserve"> norway</t>
  </si>
  <si>
    <t>𝟐𝟎𝟎𝟏. ⠀ ⠀❛ ᴛʜᴇ ᴅᴇsᴛʀᴏʏɪɴɢ ᴀɴɢᴇʟ. ⠀ ⠀ ⠀ ⠀ ⠀ ⠀ ⠀ ▬▬▬▬ 𝗉𝗋𝖾𝖿𝗂𝖾𝗋𝖾 𝗉𝖾𝖽𝗂𝗋 𝖕𝖊𝖗𝖉𝖔́𝖓, 𝖺𝗇𝗍𝖾𝗌 𝗊𝗎𝖾 𝖽𝖾𝖼𝗂𝗋 𝗊𝗎𝖾 𝖓𝖔.</t>
  </si>
  <si>
    <t>https://www.twitlonger.com/show/n_1sr54fa?new_post=true</t>
  </si>
  <si>
    <t>Tu_puta_madre</t>
  </si>
  <si>
    <t>Ni te creas tanto por tener pibes atras, acordate que el mercado se llena cuando la carne es barata ;)</t>
  </si>
  <si>
    <t>Jose Luis García</t>
  </si>
  <si>
    <t>Que coño el Gobierno ni hostias. Que coja el Rey las riendas de esto y saqué a los militares, hospitales de campaña, UME, barcos medicalizados, ... Esto es una pvta guerra. Y si no, a tomar por saco a Estoril y los militares a la mina a trabajar.</t>
  </si>
  <si>
    <t>España</t>
  </si>
  <si>
    <t>horacio</t>
  </si>
  <si>
    <t>La gente indignada porque llaman pvta y madre soltera a la prima de @OTNI10 // La prima, preparándose para ir al concierto de SanBer con síntomas de covid y resultado positivo.</t>
  </si>
  <si>
    <t>https://pbs.twimg.com/media/EsqISZoWMAAMswP.jpg</t>
  </si>
  <si>
    <t>Asuncion, Paraguay</t>
  </si>
  <si>
    <t>Lic. Criminalística y Ciencias Forenses</t>
  </si>
  <si>
    <t>Kakafu2020 🇪🇸 #SoloQuedaVox 🇪🇸</t>
  </si>
  <si>
    <t>Que a este Gobierno no le pase factura la mentira, demuestra que la muerte de la democracia es un hecho. Despertad ya de una pvta vez! #GobiernoDeLaMentira</t>
  </si>
  <si>
    <t>Española. Con Vox y con la España honesta, firme y trabajadora que lucha por su país. #GobiernoIlegítimo #GobiernoDimisión #LevantandoEspaña 🇪🇸💚</t>
  </si>
  <si>
    <t>Íñigo</t>
  </si>
  <si>
    <t>Muy notable ver como todos los que se están alarmados con la universidad porque un chaval haya tuiteado “Ximo me cago en tu pvta madre" no tengan ni un tuit de apoyo para el estudiante de Bilbao que recibió una paliza en la @upvehu por impulsar una asociación de defensa de España</t>
  </si>
  <si>
    <t>Españita</t>
  </si>
  <si>
    <t>¿Podemos ser semilla de algo o solo somos unos solitarios con retranca en un mundo de normies y pastillas azules?</t>
  </si>
  <si>
    <t>0la</t>
  </si>
  <si>
    <t>Obligarte a sentirte mejor para terminar los trabajos finales de la universidad es una pvta pesadilla.</t>
  </si>
  <si>
    <t>Ni pa' allá voy a mirar.</t>
  </si>
  <si>
    <t>https://www.instagram.com/javier_craq/</t>
  </si>
  <si>
    <t>m🌻</t>
  </si>
  <si>
    <t>-yo pensando que la paloma estaba atacando al perrito: pvta paloma así reviente🤬🤬🤬🤬❗️❗️❗️🤬🤬🤬🤬 -yo viendo que solo se está subiendo encima para que la lleve: 🥺🥺🥺🥺😭😭😭😍😍😍🥰🥰🥰 RT @Desahogada: 😭😭😭😭</t>
  </si>
  <si>
    <t>https://twitter.com/Desahogada/status/1353720300840640514
https://www.instagram.com/p/CKeOAR3HEtv/?igshid=1vgbx2ykv8sxg</t>
  </si>
  <si>
    <t>pic.twitter.com/p3vaVXmqaH</t>
  </si>
  <si>
    <t>Terrassa, Barcelona.</t>
  </si>
  <si>
    <t>tengo 22 años, estudio psicología y soy piscis. ¿a que quieres que te llore???!!!! @psjdtkestoyviva</t>
  </si>
  <si>
    <t>http://instagram.com/mkkpxrez</t>
  </si>
  <si>
    <t>@sheltonclyde9</t>
  </si>
  <si>
    <t>Mientras tú te ves en la pvta calle, y los tuyos pasan hambre, @IreneMontero y la chupipandi de @IgualdadGob se funden 452 millones de euros en mierdas como esta. Por cada acción, debería haber una brutal y contundente reacción...</t>
  </si>
  <si>
    <t>https://pbs.twimg.com/media/Esp37dTXEAEMVao.jpg</t>
  </si>
  <si>
    <t>Philadelphia, PA</t>
  </si>
  <si>
    <t>La experiencia me dice que las lecciones que no se aprenden con sangre se olvidan pronto//Al estilo de Von Clausewitz esto va a ser una puta guerra 🇪🇦🇺🇲</t>
  </si>
  <si>
    <t>Carlos</t>
  </si>
  <si>
    <t>Hijos de pvta 😤🙏🤬 Son nuestros hijos Estamos "peor" que en la primera OLA y ya estamos en la tercera...!!! Están pasando frío 😤☝️ Con la pvta mascarilla 6 horas...!!! 🤬🤬👀 Para qué cojones está el AMPA...??? SON NUESTROS HIJOS QUÉ PARTE NO ENTENDÉIS CABRONES...???🤬 RT @ingenius6: Cataluña se plantea cerrar las escuelas en tres semanas solo si los datos de la Covid-19 no mejoran  a través de @el_pais</t>
  </si>
  <si>
    <t>https://twitter.com/ingenius6/status/1354024057906278400
https://elpais.com/espana/catalunya/2021-01-08/cataluna-acelera-y-vacuna-en-un-dia-a-13000-personas.html?ssm=TW_CC</t>
  </si>
  <si>
    <t>Barcelona, España 🇪🇦🇪🇦🇪🇦</t>
  </si>
  <si>
    <t>Parler @carlosiden2225 Gab @carlosiden2225 El Social Comunismo el verdadero virus del 🌍</t>
  </si>
  <si>
    <t>¡Hasta La Miseria, siempre! 🇪🇸</t>
  </si>
  <si>
    <t>Dice esta pvta basura de cuenta d @rtve q @papayaykware es una cuenta q se dedica a expandir bulos. ¡LO DICE @rtve, LA TELEVISIÓN ESPANTOSA DE TODOS Y TODAS! #FakeNews #Manipulación #SesgoInformativo #PrensaDeKalidá #PeriodismoBasura #ApagaLaTele #CierreRtveYa #DaisAsco #HDLGP RT @rtve: Un promedio de 194 publicaciones al día, divulgación sistemática de bulos, nube de contactos plagada de cuentas ideológicamente afines y más de 4.000 seguidores #VerificaRTVE analiza una cuenta de Twitter dedicada a la desinformación👇</t>
  </si>
  <si>
    <t>https://twitter.com/rtve/status/1353830505955864578
https://www.rtve.es/n/2069298/</t>
  </si>
  <si>
    <t>Usuario en desbandada. Adiós, tiranos. Sois los sicarios de la dictadura globalista. Fue un placer silenciar cerca del millar de tuits promocionados.</t>
  </si>
  <si>
    <t>https://gab.com/Jangelfd</t>
  </si>
  <si>
    <t>c h a b a</t>
  </si>
  <si>
    <t>Si queréis y pretendéis cuidar al espectador un poquito: NO PONGAIS MAS LA PVTA CANCION DE LOVE ES IN THE AIR, le estoy cogiendo asco. RT @mediasetcom: &gt; 'Love is in the air' anota su emisión más seguida hasta la fecha al reunir a casi 2,2M &amp;gt; 'Informativos Telecinco 15:00h' con 2,2M y 16,3%, firma su segunda emisión más vista de la temporada</t>
  </si>
  <si>
    <t>https://twitter.com/mediasetcom/status/1353991842086453249</t>
  </si>
  <si>
    <t>Dani Lagares</t>
  </si>
  <si>
    <t>Os lo corrijo: Illa dimitirá mañana como ministro de Sanidad porque no tiene ni pvta idea de lo que es la sanidad. RT @el_pais: 🔴 ÚLTIMA HORA | Illa dimitirá mañana como ministro de Sanidad para centrarse en la campaña de las elecciones en Cataluña</t>
  </si>
  <si>
    <t>https://twitter.com/el_pais/status/1353600312037285888
https://bit.ly/3sWLJae</t>
  </si>
  <si>
    <t>pic.twitter.com/kpynlPoAW2</t>
  </si>
  <si>
    <t>Sevilla.</t>
  </si>
  <si>
    <t>Aquí todos van a su rollo, menos yo, que voy al mío. SFC.</t>
  </si>
  <si>
    <t>Rodrigo</t>
  </si>
  <si>
    <t>La generación que viene es un poquito hija de pvta. RT @lascosasvanbien: @Scota231 @Manuj_Hidalgo Lucharon para ganarse la vida y vivir dignamente como hacemos todos, no por mí. Si va a hablar de economía que diga la verdad. Cuando más mueran rápido, mejor para la economía de los jóvenes.</t>
  </si>
  <si>
    <t>https://twitter.com/lascosasvanbien/status/1353984729750638592</t>
  </si>
  <si>
    <t>Católico, conservador, monárquico, madridista y español.</t>
  </si>
  <si>
    <t>El Compañero Christian Genius Billionarie</t>
  </si>
  <si>
    <t>Más bien demuestra como los mugeres pretendéis ser el centro del universo y tener un séquito de incels del que quejaros pero que os encanta tener. Vamos que eres pvta RT @paragonperez: Cada vez Tinder me parece un reflejo más claro de la crisis que está atrevasando la masculinidad, acostumbrada a ser el centro del universo y tener todo lo que quiere👇</t>
  </si>
  <si>
    <t>https://twitter.com/paragonperez/status/1353313432150429696</t>
  </si>
  <si>
    <t>https://pbs.twimg.com/media/EsfvYc7W8AAoIGc.jpg</t>
  </si>
  <si>
    <t>Jackson, WY</t>
  </si>
  <si>
    <t>laura ferris🇪🇸🇪🇸💚💚</t>
  </si>
  <si>
    <t>Illa ya tenia que haber dimitido hace meses,él y toda la mierda de Gobierno que tenemos......le cambiamos el nombre por el "Coño de la Bernarda" y parece una pvta película de 💩</t>
  </si>
  <si>
    <t>Valencia</t>
  </si>
  <si>
    <t>Cuando lleves mis zapatos y andes mi camino, me juzgas INSTAGRAM: laurahurra</t>
  </si>
  <si>
    <t>Gertrude🖤🕶️🖤</t>
  </si>
  <si>
    <t>El dictador comunista tiene Venezuela en la pvta miseria, pero eh!! Va a salvar al mundo con las gotitas milagrosas!! MILAGROSAS OIGA DICTADOR!! Se oyen las risas desde allí!? 🤣🤣🤣 Gordo cabron!! RT @NicolasMaduro: El Carvativir, las gotitas milagrosas de José Gregorio Hernández, neutralizan los síntomas del Coronavirus. ¡De Venezuela para el mundo! A partir de esta semana comienza la producción masiva, para que todo el Sistema Público Nacional de Salud cuente con este poderoso antiviral.</t>
  </si>
  <si>
    <t>https://twitter.com/NicolasMaduro/status/1353505944257388544</t>
  </si>
  <si>
    <t>https://pbs.twimg.com/media/Esiee6BXcAAEU8q.jpg</t>
  </si>
  <si>
    <t>zurdos paletos no, gracias.</t>
  </si>
  <si>
    <t>Noé Morales Walle</t>
  </si>
  <si>
    <t>Ya estoy hasta la pvta madre del mapa Olympus de apex #ApexLegends</t>
  </si>
  <si>
    <t>https://pbs.twimg.com/media/Eso-paTUcAMlwjg.jpg</t>
  </si>
  <si>
    <t>Coalcomán de Vázquez Pallares</t>
  </si>
  <si>
    <t>Se ha dicho a través de las épocas... que sin sacrificio... no puede haber victoria.</t>
  </si>
  <si>
    <t>https://www.twitch.tv/polichiston</t>
  </si>
  <si>
    <t>Kenini por siempre 🇲🇽 🤡</t>
  </si>
  <si>
    <t>Eres una pvta sorra, me caes mal desde el día que te conocí, te odio porque no interactuas conmigo, eres flop pero aún así te amo RT @laChorroChapoy: A ver citen este twett y digan lo que opinan de mi insulteme jo me enojo</t>
  </si>
  <si>
    <t>https://twitter.com/laChorroChapoy/status/1353946281991942144</t>
  </si>
  <si>
    <t>Marius</t>
  </si>
  <si>
    <t>"Claro que sí, claro que puedes ponerte hasta el huevo mija, no te preocupes recuerda que nadie tiene derecho a violarte, tú piérdete ALV." - NINGÚN PAPÁ EN LA PVTA HISTORIA.</t>
  </si>
  <si>
    <t>Mexico</t>
  </si>
  <si>
    <t>Siempre inAliade nunca Aliade. Sólo los pendejos tienen todas las respuestas.</t>
  </si>
  <si>
    <t>RyZiTo</t>
  </si>
  <si>
    <t>La pvta mejor cosa que eh visto en mi vida RT @thetrulu: Mi hermana es maestra de kinder y me pidió que le hiciera una abeja para su clase y pues se me ocurrio hacer esto XD</t>
  </si>
  <si>
    <t>https://twitter.com/thetrulu/status/1328488034820624387</t>
  </si>
  <si>
    <t>https://pbs.twimg.com/media/Em-806CXcAASADT.jpg</t>
  </si>
  <si>
    <t>14y | Configuro servers de Discord Ds: RyZiTo#4724 @WolfiXyLoveRyZe z3</t>
  </si>
  <si>
    <t>https://discord.gg/aYJMGNmk3W</t>
  </si>
  <si>
    <t>Miguel ⚽🏆</t>
  </si>
  <si>
    <t>Es que mira que querer follar en Tinder. Que cosas pasan, "hoiga". Puto patriarcado ...😂😂😂😂 Como están de la pvta cabeza... RT @paragonperez: Cada vez Tinder me parece un reflejo más claro de la crisis que está atrevasando la masculinidad, acostumbrada a ser el centro del universo y tener todo lo que quiere👇</t>
  </si>
  <si>
    <t xml:space="preserve">En Madrid. </t>
  </si>
  <si>
    <t>No tardes, te espero en mi sueño.</t>
  </si>
  <si>
    <t>🍒𝙰𝚗𝚐𝚎𝚕𝚒𝚗𝚊🍒</t>
  </si>
  <si>
    <t>LAJSKAHSKHS A LA VERGAAAAAA EL GRITO Q PEGUE CUANDO ESTA PVTA SE QUERÍA ACOSTAR CIN MACO WEY ES Q QUEDE EL CAPÍTULO FUE RE WTF</t>
  </si>
  <si>
    <t>https://pbs.twimg.com/media/Esoc6x4XcAAHQgC.jpg</t>
  </si>
  <si>
    <t>Tu corazon</t>
  </si>
  <si>
    <t>♈️ ||She/her||🏳️‍🌈</t>
  </si>
  <si>
    <t>kevin</t>
  </si>
  <si>
    <t>balenciagaaaa, que hija de re pvta y yo yendo a la feria RT @TiniStoessel: 🤍</t>
  </si>
  <si>
    <t>https://twitter.com/TiniStoessel/status/1353883040242487299</t>
  </si>
  <si>
    <t>https://pbs.twimg.com/media/Esn1crHVkAMHT-O.jpg</t>
  </si>
  <si>
    <t>vayan al psicólogo o nose, coman pankekes</t>
  </si>
  <si>
    <t>yera</t>
  </si>
  <si>
    <t>pvta z0rra asquerosa la que aún no haya visto el teaser del solo de mi chiquita</t>
  </si>
  <si>
    <t>https://youtu.be/LGkUW5cUPz8</t>
  </si>
  <si>
    <t>jaehyun</t>
  </si>
  <si>
    <t>waiting for RS1 ♡</t>
  </si>
  <si>
    <t>🇭🇳ᴮᴱ⁷Enjo💜🐳</t>
  </si>
  <si>
    <t>El internet de la casa se arruino y ahora me estoy compartiendo del cel de mi papá PERO LA PVTA SEÑAL ESTÁ PARA LA PORRA MAN Bangtan actualiza y con esta señal la notificación me llega en el 2055 dios @BTS_twt</t>
  </si>
  <si>
    <t>Bangtan mi lugar seguro.♡</t>
  </si>
  <si>
    <t>@BTS_twt. #BE ☆...ꜱᴛᴀʏ ᴡɪᴛʜ ᴍᴇ ꜱᴛᴀʏ ʜᴇʀᴇ ꜰᴏʀᴇᴠᴇʀ, ꜱᴛᴀʏ ʜᴇʏ. ᴍʏ ʟɪꜰᴇ ɪꜱ ᴀʟʟ ᴀʙᴏᴜᴛ ʏᴏᴜ.💜</t>
  </si>
  <si>
    <t>https://my.w.tt/lRaev87nLab</t>
  </si>
  <si>
    <t>Mateo🧎🏻</t>
  </si>
  <si>
    <t>Que tema mas hermoso Sweet night di0s NI BIEN EMPIEZA YA ESTOY LLORANDO LA PVTA MADRE TAE GRACIAS POR ESTE TEMON</t>
  </si>
  <si>
    <t>https://pbs.twimg.com/media/EsoK48qW8AE6D6z.jpg</t>
  </si>
  <si>
    <t>Acapulco socios👁👅👁</t>
  </si>
  <si>
    <t>Stan Sasha Banks, stan Lali, stan CNCO</t>
  </si>
  <si>
    <t>✨ Cami 🇨🇴// RS1</t>
  </si>
  <si>
    <t>Cierra la pvta boca, ella estuvo trabajando hasta tarde, dejen de atacarle sin razón. RT @namtan_0327: Lisa filmed YWY3 until 5 am KST. I hate them who attacked L on Instagram.</t>
  </si>
  <si>
    <t>https://twitter.com/namtan_0327/status/1353893311455649794
https://twitter.com/midangka_jl97/status/1353892253870264322</t>
  </si>
  <si>
    <t>Only Blink</t>
  </si>
  <si>
    <t>𝒇𝒂𝒏 𝒂𝒄𝒄𝒐𝒖𝒏𝒕 𝐨𝐭𝟒 𝙘𝙖𝙣 𝙞𝙩 𝙠𝙞𝙘𝙠 𝙞𝙩?</t>
  </si>
  <si>
    <t>Titania</t>
  </si>
  <si>
    <t>No te vuelvo a pedir que juegues conmigo!!! Tú sabes quien eres pvta.</t>
  </si>
  <si>
    <t>Cuenta creada en la pandemia y tengo un podcast donde hablo de todo https://open.spotify.com/show/0S7ZEfhxejPJGL5GOyXr2A?si=HRpmwHJdSuuiN-jAVSeY0w</t>
  </si>
  <si>
    <t>http://www.instagram.com/soy.eddgar</t>
  </si>
  <si>
    <t>Curtis Mcflay 🖤🇪🇸🖤</t>
  </si>
  <si>
    <t>En el Hospital Universitario de Badajoz, los pacientes permanecen ingresados en los aparcamientos, dentro de la ambulancia. También están sentenciando a gente más mayor, para salvar a los jóvenes. Porque no hay respiradores. UN AÑO DESPUÉS. ASE SI NOS HIJOS DE PVTA</t>
  </si>
  <si>
    <t>Liberal tecnócrata. Hastiado de populismo. Amante de los animales y la naturaleza. Por un Estado con competencias limitadas. "Esse quam Videri".</t>
  </si>
  <si>
    <t>Arka</t>
  </si>
  <si>
    <t>LA PVTA MADRE LOS SIMPSON NO PREDIJERON NADA, SOLO SON SIMPLES COINCIDENCIAS AAAAAAAA</t>
  </si>
  <si>
    <t>https://pbs.twimg.com/media/Esn-s6JXcAE6ORJ.jpg</t>
  </si>
  <si>
    <t>"la baguette"</t>
  </si>
  <si>
    <t>soy un vato antisocial que nunca va a lograr nada en su vida //• mi familia quiere que este año haga algún amigo xd //• amante de los muslos,dragones y café :3</t>
  </si>
  <si>
    <t>Cara de qlo 🍑👉❤️👈</t>
  </si>
  <si>
    <t>Ayyy te cagaste la sorpresa la pvta madre 🤣🤣🤣🤣 @danielaacallee</t>
  </si>
  <si>
    <t>Cúcuta, Colombia</t>
  </si>
  <si>
    <t>Quiero seguir escribiendo mi historia contigo...!!✍🏻</t>
  </si>
  <si>
    <t>𝔅𝔯1</t>
  </si>
  <si>
    <t>Siempre digo lo mismo: ¿POR QUE NO SE EXTINGUEN LAS MOSCAS? Que ser más molesto, asqueroso y estresante, les juro que no las soporto. Y para los que digan que polinizan flores y la chingada: ESTAN TODO EL DÍA EN LA CASA Y NO HAY UNA PVTA FLOR &gt;:(</t>
  </si>
  <si>
    <t>Un especie de lugar para decir lo que se me pase por la mente y compartir pelotudeces.</t>
  </si>
  <si>
    <t>big daddy triana</t>
  </si>
  <si>
    <t>quiero mostachon la pvta madre 😡</t>
  </si>
  <si>
    <t>next to you</t>
  </si>
  <si>
    <t>no bio bc idk anything about me or else</t>
  </si>
  <si>
    <t>N🏳️‍🌈</t>
  </si>
  <si>
    <t>Chica, te buscas la pvta vida pa hacerlo tú y ya está, q asco macho</t>
  </si>
  <si>
    <t>cuento cosas y me quejo 🙄 mi vida es un constante ojalá ⚡️</t>
  </si>
  <si>
    <t>Domin0xxx⛓️</t>
  </si>
  <si>
    <t>La pvta madre k os pario esta peli es genial RT @SaintAvenger216: Power Rangers 2017 is underrated.</t>
  </si>
  <si>
    <t>https://twitter.com/SaintAvenger216/status/1353699050126766080</t>
  </si>
  <si>
    <t>https://pbs.twimg.com/media/EslOFu1W8AE6MvG.jpg</t>
  </si>
  <si>
    <t>era @/bgeek85 me han vuelto a cerrar la cuenta</t>
  </si>
  <si>
    <t>Dan Solo</t>
  </si>
  <si>
    <t>Déjenme dormir, por la gran pvta</t>
  </si>
  <si>
    <t>alea iacta est</t>
  </si>
  <si>
    <t>https://www.instagram.com/daniel_andres11/</t>
  </si>
  <si>
    <t>🇲🇽DirtyHarryCallahan  ®</t>
  </si>
  <si>
    <t>En estas elecciones hay que darles una verdadera lección a estos hijos de PVTA del PRIANRD y a todos los que van en contra de la 4t, deben sufrir la derrota más humillante de las elecciones en la historia de mexico, deben vivir toda su vida recordando como mexico los erradicó</t>
  </si>
  <si>
    <t>https://pbs.twimg.com/media/EsnmSZ2W4AMSQZR.jpg</t>
  </si>
  <si>
    <t>Πόλη του Μεξικό</t>
  </si>
  <si>
    <t>Un transeúnte Obradorista. Con los vientos del cambio llegamos....4️⃣T</t>
  </si>
  <si>
    <t>ᴅʏʟᴀɴⁿᵉʳᵒ||¦||¦¦ semi inactivo📚</t>
  </si>
  <si>
    <t>Podemos hacer esto y con 7 días de antelación imagínense lo que haríamos si la pvta yg nos diera más tiempo☠ RT @KONcharts: YouTube Trends WW #12 BOBBY - '야 우냐 (U MAD)' M/V #Bobby_UMad_OutNow #바비야_우냐_지금 @bobbyranika @YG_iKONIC</t>
  </si>
  <si>
    <t>https://twitter.com/KONcharts/status/1353753075425497089</t>
  </si>
  <si>
    <t>https://pbs.twimg.com/media/Esl_EN8VkAAlu1y.jpg</t>
  </si>
  <si>
    <t>🏳️‍🌈 Princess Park⭒OT7 iKON✨</t>
  </si>
  <si>
    <t>𝘍𝘢𝘯𝘉𝘰𝘺 || ɪᴋᴏɴ || ᴀᴛᴇᴇᴢ || ᴄʀᴀᴠɪᴛʏ ||</t>
  </si>
  <si>
    <t>https://www.youtube.com/channel/UC1LiTfGNZiweSTu8_NFVi1g</t>
  </si>
  <si>
    <t>𝙈 𝘼 𝙇 𝘼 𝙐 ☺︎︎</t>
  </si>
  <si>
    <t>Kiero hacerme una carrd pero no tengo ni la mínima pvta idea de cómo hacerla 🤟🏼😔</t>
  </si>
  <si>
    <t>𝑀𝑒́𝑥𝑖𝑐𝑜.  𝑠ℎ𝑒/ℎ𝑒𝑟</t>
  </si>
  <si>
    <t>ᴀsɪ ᴇs ᴍᴀᴍᴀ́, sᴏʏ ʀᴜʙɪᴇʀ ❤️𝑚𝑢𝑙𝑡𝑖𝑓𝑎𝑛𝑑𝑜𝑚 // 𝑚𝑜𝑟𝑒 𝑙𝑜𝑣𝑒, 𝑙𝑒𝑠𝑠 ℎ𝑎𝑡𝑒 𝑙𝑣.17 ✨</t>
  </si>
  <si>
    <t>尺ㄖㄥㄥ丂尺ㄖㄚ丂</t>
  </si>
  <si>
    <t>Re de pvta está con la misma pizza quemada le doy tremendo sopapo y que me coma los eggs RT @leonardo__1989: Dame la definición de conchuda</t>
  </si>
  <si>
    <t>https://twitter.com/leonardo__1989/status/1353516480806191104</t>
  </si>
  <si>
    <t>https://pbs.twimg.com/media/EsioCfdXUAIXiTY.jpg</t>
  </si>
  <si>
    <t>Argentina, Corrientes</t>
  </si>
  <si>
    <t>Borracho pero buen muchacho♦️Tardes grises♦️</t>
  </si>
  <si>
    <t>https://www.instagram.com/rodrigoromerogg/</t>
  </si>
  <si>
    <t>Agente Smith</t>
  </si>
  <si>
    <t>Reflexión impopular para irme a dormir: En lo que respecta a la separación de poderes, y alguna cosa más, la Constitución española es una pvta mi€rda.</t>
  </si>
  <si>
    <t>Es inevitable</t>
  </si>
  <si>
    <t>Magma</t>
  </si>
  <si>
    <t>HOLANDA🇳🇱 : La quema enfurecida de los centros donde se realizan Test PCR y las Pruebas del #Covid19 Qué arda de una vez toda esta pvta FARSA!! 🔥🔥 #CIRCOVID Los Holandeses indignados no se dejan pisotear porque tienen sangre en las venas más fuego!! 🔥🔥 #LaPlandemiaEsDictadura RT @city_affairs: NETHERLANDS: The torching of the Covid19 testing centres</t>
  </si>
  <si>
    <t>https://twitter.com/city_affairs/status/1353473103456854016</t>
  </si>
  <si>
    <t>pic.twitter.com/0FiXC1j3rA</t>
  </si>
  <si>
    <t>𝙱𝚛𝚞𝚖𝚊 𝚍𝚎 𝚊𝚗𝚑𝚎𝚕𝚘 𝚙𝚊𝚕𝚙𝚒𝚝𝚊𝚗𝚝𝚎</t>
  </si>
  <si>
    <t>OTRA MÁS ME CANCELÓ HIJAS DE PVTA HIJAS DE REMIL PVTA NUNCA CONFÍEN EN LAS MUJERES PORQUE TE APUÑALAN POR LA ESPALDA RT @remastered_soI: Bueno ya dos amigas me dijeron q no van a poder venir a mi cumpleaños menos mal q me hice amigos nuevos x tuiti para rellenar el vacío emocional que me dejan estas hijas de pvta sin responsabilidad afectiva</t>
  </si>
  <si>
    <t>https://twitter.com/remastered_soi/status/1353846274928365568</t>
  </si>
  <si>
    <t>Pronouns: nor/mal ♡ nejihina</t>
  </si>
  <si>
    <t>Soy todo eso que odiás. Match: @__camiIo</t>
  </si>
  <si>
    <t>https://instagram.com/sol_bg</t>
  </si>
  <si>
    <t>Torrezna von Vallecas.✊ Weg zur neuen Normalität</t>
  </si>
  <si>
    <t>Me pone los Triskys en la fila de los "ni regalados los quiero". Me cago en mi pvta bida. RT @Nanisimo: mi opinión: siempre válida.</t>
  </si>
  <si>
    <t>https://twitter.com/Nanisimo/status/1353838945889619968</t>
  </si>
  <si>
    <t>https://pbs.twimg.com/media/EsnNRGXXYAA8jRq.jpg</t>
  </si>
  <si>
    <t>Irgendwo im tiefen Spanien</t>
  </si>
  <si>
    <t>El 50% de lo q escribo no es verdad, por lo q es posible q eso sea mentira. O quizás no. Conviene pensar. Y si no te gusta pensar, no leas SOLO a idiotas.</t>
  </si>
  <si>
    <t>Anto ᵕ̈</t>
  </si>
  <si>
    <t>Pero gringos hijos de re mil pvta la concha q los parió nunca espere nada de ustedes pero aún así terminan decepcionando :) RT @headlineplanet: Latest #Grammys odds for Best Pop Duo/Group Performance (via MyBookie, lower = better) Rain On Me +150 exile +160 Dynamite +400 Intentions +700 Un Dia +900 (exile has moved slightly closer to Rain On Me, the others are unchanged)</t>
  </si>
  <si>
    <t>https://twitter.com/headlineplanet/status/1353810046988259329</t>
  </si>
  <si>
    <t>ONLY :</t>
  </si>
  <si>
    <t xml:space="preserve"> ##석진 ࿐ ִֶָ✧ My sweet Moon 🌙 </t>
  </si>
  <si>
    <t>http://BANGTAN.xn--c6h87e</t>
  </si>
  <si>
    <t>CamelEspecias 🇷🇴</t>
  </si>
  <si>
    <t>Muh si UK se va de Europa entonces en que continente estan CALLATE LA PVTA BOCA</t>
  </si>
  <si>
    <t>vamel espesit</t>
  </si>
  <si>
    <t>Puyi eterno Capità</t>
  </si>
  <si>
    <t>Si no tuviera la asociación con Messi no seria titular y ya tendría que estar en la grada o en la pvta calle... y también haces el s0bn0rmal y te sacan amarillas por gilip0lleces.. menudo iluminado RT @FCBarcelona_es: 🗣 @JordiAlba: "Todavía puedo dar mucho al Barça" ➡</t>
  </si>
  <si>
    <t>https://twitter.com/FCBarcelona_es/status/1353834879541243904
http://barca.link/lK8450Di1uN</t>
  </si>
  <si>
    <t>https://pbs.twimg.com/media/EsnJpIcXYAAOL3b.jpg</t>
  </si>
  <si>
    <t>Riqui es un filtrador: pero de pases. Barcelona ❤💙 en el barco de: Riqui, Ansu, Pedri y Dest show. Laporta es mi presidente</t>
  </si>
  <si>
    <t>Muuh el movil es un medio de producción por tanto eres bruhues jaque mate Marx CALLATE LA PVTA BOCÁAAAAFSHJDKDK</t>
  </si>
  <si>
    <t>e-Vampire</t>
  </si>
  <si>
    <t>pvta wn, estoy tan descomunicado de la comunidad de gd que no me aparece el video ese de estreno de molten gear de la tal elizabeth xDDDDDDDDD</t>
  </si>
  <si>
    <t>Peru</t>
  </si>
  <si>
    <t>Juego GD y Genshin Impact | Estudiante de la PUCP | 35/700 demons para el retiro | Fan de RPGs en general | Mi pasatiempo es hacer hilos que son ignorados</t>
  </si>
  <si>
    <t>https://www.youtube.com/channel/UCxpwngQ3Mwg4vwoK4SMPiEw</t>
  </si>
  <si>
    <t>la china ㊗️</t>
  </si>
  <si>
    <t>taria pa que se levante un viento de la re pvta madre y refresque un toque no? 🤞🏼</t>
  </si>
  <si>
    <t>Bragado, Argentina</t>
  </si>
  <si>
    <t>no te creas todo lo que ves aca</t>
  </si>
  <si>
    <t>Vera Kingsley🇳🇬</t>
  </si>
  <si>
    <t>Quien ha sido el hij0 pvta que me ha echado el mal de ojo por lo de los garbanzos??? DA LA CARA COBARDE 😭</t>
  </si>
  <si>
    <t xml:space="preserve">Heaven </t>
  </si>
  <si>
    <t>full time foodie!😈</t>
  </si>
  <si>
    <t>Angel300 Loquendo</t>
  </si>
  <si>
    <t>Si wey!!! Ya saca otro Silent Hill la re pvta que te parió!! RT @porkestendencia: “Konami": Por quienes opinan que debería desarrollar un nuevo Silent Hill.</t>
  </si>
  <si>
    <t>https://twitter.com/porkestendencia/status/1353791787358429189</t>
  </si>
  <si>
    <t>https://pbs.twimg.com/media/EsmidGgXUAEqIqV.jpg</t>
  </si>
  <si>
    <t>Mineral de la Reforma, Hidalgo</t>
  </si>
  <si>
    <t>Creador de historias en GTA SA, Críticas, Gameplays, Curiosidades, Guías, Series, Parodias, Etc... Cuenta de respaldo: @Angel300LQ2</t>
  </si>
  <si>
    <t>https://youtube.com/c/Angel300LoquendoOficial</t>
  </si>
  <si>
    <t>Agente 🔍🏴󠁧󠁢󠁷󠁬󠁳󠁿 Pepinerosson🔎🇮🇸</t>
  </si>
  <si>
    <t>Eres un hijo de pvta, un mal compañero, una mala persona y un nefasto profesional.  RT @MovistarFutbol: 😅🤣 Jordi Alba, en #ElDíaDespués: "Creo que soy de los jugadores más odiados del fútbol".</t>
  </si>
  <si>
    <t>https://twitter.com/MovistarFutbol/status/1353818222680829952</t>
  </si>
  <si>
    <t>https://pbs.twimg.com/media/Esm8SQCXIAAeGHS.jpg
https://pbs.twimg.com/media/Esm6NtqW4AIhZso.jpg</t>
  </si>
  <si>
    <t>Socio del Lega⚽🥒. Estoy aquí para hacer RTs 🔄 y blocks ⛔. Tu opinión me la suda🖕Tengo vida fuera 🚪 Post COVID-19 recuerda: Barra libre, cementerio abierto</t>
  </si>
  <si>
    <t>Ƈє́ѕαя 🔪 | sky rojo</t>
  </si>
  <si>
    <t>lali limpia la cámara frontal hija de pvta</t>
  </si>
  <si>
    <t>Argentina</t>
  </si>
  <si>
    <t>ᴅᴜᴇɴ̃ᴏ ᴅᴇ ᴅᴏs ᴇxᴛʀᴀɴ̃ᴏs ʏ ᴇᴄʟɪᴘsᴇ || ғᴀɴ ᴀᴄᴄᴏᴜɴᴛ</t>
  </si>
  <si>
    <t>𝑩𝒍𝒖𝒆 𝑴𝒂𝒓𝒚 💙</t>
  </si>
  <si>
    <t>Esta bien, además el mundo se va a ir a la pvta RT @soyleidysalazar:</t>
  </si>
  <si>
    <t>https://twitter.com/soyleidysalazar/status/1353784995962376192</t>
  </si>
  <si>
    <t>https://pbs.twimg.com/media/EsmcRlUUYAAdgSw.jpg</t>
  </si>
  <si>
    <t>𝒬𝓊ℯℯ𝓃 ℴ𝒻 𝒟𝒾𝓈𝒶𝓈𝓉ℯ𝓇... ᔕsᴛᴀɴᴇᴏ ᴄᴏsᴀs ᴅᴇ sᴛʀᴇᴀᴍᴇʀs, ᴀᴍᴏ ᴀ ʟᴏs ɢᴀᴛᴏs, ғᴀɴ ᴅᴇ ʟᴀɴᴀ ᴅᴇʟ ʀᴇʏ ʏ sᴏʏ ᴜɴᴀ ᴅᴇsɢʀᴀᴄɪᴀᴅᴀᔕ</t>
  </si>
  <si>
    <t>Paulo Cutre</t>
  </si>
  <si>
    <t>Yo estoy en contra de la censura... en twitter debería poder expresarse libremente hasta dictadores asesinos como Maduro y uno debería poder cagarse en su pvta madre libremente. RT @PuntaLeyend: Al becerro éste no lo censura Twitter.</t>
  </si>
  <si>
    <t>https://twitter.com/puntaleyend/status/1353695838787276806
https://twitter.com/NicolasMaduro/status/1353505944257388544</t>
  </si>
  <si>
    <t>Málaga, Andalucía</t>
  </si>
  <si>
    <t>Jugador de fútbol retirado. No soy del atlético. Estoy aquí para cotillear y discutir. Azote de políticos del color que sea. Malaguista. Ciudad Jardín libre.</t>
  </si>
  <si>
    <t>ًRS1</t>
  </si>
  <si>
    <t>a lali hay q mandarle boludeces para q te responda xq le haces una pregunta bien y t ignora como la más hija de pvta</t>
  </si>
  <si>
    <t>too yugan</t>
  </si>
  <si>
    <t>ㅤ ㅤ ㅤyour kpop boy isn’t bian, think about that</t>
  </si>
  <si>
    <t>https://laliesposito.xn--6ii</t>
  </si>
  <si>
    <t>Son NENAS hijos de remil pvta NENAS los quiero a todos presos o en la hoguera o ambas RT @somoskudasai: Daiichi Market anunció el lanzamiento de dos fundas para dakimakura basadas en Rena Ryuuguu y Rika Furude del anime original "Higurashi no Naku Koro ni Gou". Los productos están disponibles a un precio de 13,200 yenes (127 dólares).</t>
  </si>
  <si>
    <t>https://twitter.com/somoskudasai/status/1353772439541575680</t>
  </si>
  <si>
    <t>https://pbs.twimg.com/media/EsmQ2__XYAARCzL.jpg</t>
  </si>
  <si>
    <t>Flor de Capomo</t>
  </si>
  <si>
    <t>JAJAJSJAJAJ no mames morro, neta? Es la última pvta clase 😂😂</t>
  </si>
  <si>
    <t>https://pbs.twimg.com/media/EsmtYqhXUAM7csX.jpg</t>
  </si>
  <si>
    <t>Me gusta que me rompan el corazón y los perritos.</t>
  </si>
  <si>
    <t>https://instagram.com/sofiforpresident?igshid=p4k5jknug4ev</t>
  </si>
  <si>
    <t>Svenska 🍸🇦🇩 | REFOLLOW</t>
  </si>
  <si>
    <t>Que registre síntomas y se tome la temperatura basal tu pvta madre</t>
  </si>
  <si>
    <t>https://pbs.twimg.com/media/EsmtDltXYAAA47e.jpg</t>
  </si>
  <si>
    <t>europe</t>
  </si>
  <si>
    <t>Es una medida democrática, ajustada a la maravillosa Constitución. Sí, esta pvta mierda es lo que defendéis, no queréis régimen del 78, pues disfrutadlo. 🤡 RT @abc_es: Urkullu y Sánchez sellan el traspaso «de urgencia» de Prisiones en marzo</t>
  </si>
  <si>
    <t>https://twitter.com/abc_es/status/1353794776240418817
http://ver.abc.es/kt5jd2</t>
  </si>
  <si>
    <t>☁️ Rubeen ☁️</t>
  </si>
  <si>
    <t>Plz que me salga la pvta publicidad con la encuesta de The weeknd</t>
  </si>
  <si>
    <t>https://pbs.twimg.com/media/EsmoMHbXUAAXUFX.jpg</t>
  </si>
  <si>
    <t>Lo subo al cielo, yo soy su Messiah ☁️</t>
  </si>
  <si>
    <t>Owen Ben</t>
  </si>
  <si>
    <t>Dormir se me hace la mayor pvta perdida de tiempo jajaja</t>
  </si>
  <si>
    <t>Conductor en McCarthy’s TV.</t>
  </si>
  <si>
    <t>http://instagram.com/owenbenp</t>
  </si>
  <si>
    <t>A.M 🏳️‍🌈❄☃️</t>
  </si>
  <si>
    <t>DEJADLO QUE MVERA DE UNA PVTA VEZ, NO LE DEIS MÁS DINERO A LA JOTAK RT @eldiarioes: 'Harry Potter' tendrá una adaptación en forma de serie de TV para HBO Max</t>
  </si>
  <si>
    <t>https://twitter.com/eldiarioes/status/1353784200843780096
https://vertele.eldiario.es/noticias/Harry-Potter-Adaptacion-Serie-TV-HBO-Max_0_2308269188.html</t>
  </si>
  <si>
    <t>Murcia, España</t>
  </si>
  <si>
    <t>(She/her) Máster de Traducción Creativa y Humanística. Filóloga inglesa. Bi, ace, pelis de terror, MCR y kpop https://am97.carrd.co/</t>
  </si>
  <si>
    <t>ǝuǝɹı</t>
  </si>
  <si>
    <t>mi aspiración en la vida es ser tan lista como Bismarck, tiene mis respetos el kbrón</t>
  </si>
  <si>
    <t>Granada, España</t>
  </si>
  <si>
    <t>idfc :))</t>
  </si>
  <si>
    <t>R3d ✊🔻۞</t>
  </si>
  <si>
    <t>Que termine ya la pvta pandemia. Madre mía qué temazos pa hacerse polvo</t>
  </si>
  <si>
    <t>https://youtu.be/GA99qX_JHWM</t>
  </si>
  <si>
    <t>El motor de la historia es la lucha de clases.</t>
  </si>
  <si>
    <t>https://youtu.be/gcKhS7ly8ig</t>
  </si>
  <si>
    <t>𝕶𝖊𝖑𝖑𝖎𝖓 𝕯𝖆𝖐𝖔𝖙𝖆</t>
  </si>
  <si>
    <t>Qué coño de la pvta es esto... RT @Merakiconf: TW//!!⚠⚠⚠ #🥢 No solemos pedir nunca pero desde Meraki os rogamos POR FAVOR que todos denunciéis esta cuenta enfermiza (@Babys3xxx). Creo que no necesita mucha más explicación si simplemente miráis las capturas.</t>
  </si>
  <si>
    <t>https://twitter.com/Merakiconf/status/1353775148290236417</t>
  </si>
  <si>
    <t>https://pbs.twimg.com/media/EsmTTceXMAEJ8ck.jpg</t>
  </si>
  <si>
    <t>Idris</t>
  </si>
  <si>
    <t>🤘🏻𝟐𝟑 𝐲/𝐨 🖤ˢⁱⁿᵍˡᵉ 🏹ֆɦǟɖօաɦʊռȶɛʀ / ɖɛʍɨɢօɖ / աɨ(ʐǟʀɖ)ȶƈɦ 🐍ʏᴏᴜ ᴄᴀɴ'ᴛ ɢᴇᴛ ᴊᴜꜱᴛ ᴏɴᴇ ʙɪᴛᴇ ᴏꜰ ᴍᴇ. ɪ'ᴍ ᴛʜᴇ ꜰᴏʀʙɪᴅᴅᴇɴ ᴀᴘᴘʟᴇ, ʟᴇᴛ ᴍᴇ ᴛᴀᴋᴇ ʏᴏᴜ ᴛᴏ ᴀ ɴᴇᴡ ᴘᴀʀᴀᴅɪꜱᴇ</t>
  </si>
  <si>
    <t>https://instagram.com/kellin.dakota?igshid=1rrni8ip94a1t</t>
  </si>
  <si>
    <t>Carlitos de España 🇧🇴🇪🇸🏳‍🌈</t>
  </si>
  <si>
    <t>Pvta Republiqueta de 8 segundos. La pisamos, la humillamos y nos descojonamos de ustedes y de las porras que habéis tragado. El 14F os vais ❤❤❤  RT @gallifantes: Literatura catalana.</t>
  </si>
  <si>
    <t>https://twitter.com/gallifantes/status/1352765389059592192</t>
  </si>
  <si>
    <t>https://pbs.twimg.com/media/EsmWjIgXcAAjILa.jpg
https://pbs.twimg.com/media/EsX886wW4AYIorG.jpg</t>
  </si>
  <si>
    <t>Soy la "ultra derecha" encarnada en un inmigrante GAY. Exiliado de la Dictadura Bolivariana y la fantasía de la izquierda e independentistas.</t>
  </si>
  <si>
    <t>https://www.instagram.com/carlitosdeespana/</t>
  </si>
  <si>
    <t>Aunque "La que se avecina" tuviese gracia, que no la tiene, no me explico cómo puede tener éxito una serie en la que no hay un puñetero diálogo sin que alguien se cague en la pvta madre de alguien. Venga ya hombre.</t>
  </si>
  <si>
    <t>que era ilegal querer darle un besito a la chica que iba conmigo en preescolar, me sentía delincuente por quererlo xd RT @leirecarasa_: comentad algo inocente que creíais de pequeños, tengo curiosidad</t>
  </si>
  <si>
    <t>https://twitter.com/leirecarasa_/status/1353742692556148741</t>
  </si>
  <si>
    <t>Philippe pagafantas</t>
  </si>
  <si>
    <t>Me cago en la pvta Jodido Filmora go, tarde 1 hora para que cargará los archivos para editar y en media hora el proyecto se daño y todo se fue a la mierda aaaa</t>
  </si>
  <si>
    <t xml:space="preserve">México </t>
  </si>
  <si>
    <t>Say Hello to my little friend! 🐺🥢 YES, I draw pictures https://medibang.com/u/CarrotLoveLGXLID284/</t>
  </si>
  <si>
    <t>DiosaCaraAlSol</t>
  </si>
  <si>
    <t>Me cago en la pVta madre que parió a los globalistas! Ha quedado claro o no? #DesobedienciaCivil</t>
  </si>
  <si>
    <t>No soy mujer de doblegarse ante SIMvergüenzas... llámame LIBRE. 🇪🇸💚🇪🇸💚👑👑👑👑👑👑👑</t>
  </si>
  <si>
    <t>Twitter Query: Eres Pvta lang:es -filter:retweets -filter:replies</t>
  </si>
  <si>
    <t>yaizass🧚🏻👀</t>
  </si>
  <si>
    <t>hola, ns quien eres la que le ha dicho eso pero me cago en ti, pvta cerda RT @luciaa1122: Oye....me ha dicho que quiere que me muera😔</t>
  </si>
  <si>
    <t>https://twitter.com/luciaa1122/status/1353459375512444929</t>
  </si>
  <si>
    <t>https://pbs.twimg.com/media/Esh0INwWMAAezuQ.jpg</t>
  </si>
  <si>
    <t>she/her</t>
  </si>
  <si>
    <t>Luna🪁: 'Estoy segura que fueron los nargles'. Tom felton🐍</t>
  </si>
  <si>
    <t>Mave</t>
  </si>
  <si>
    <t>Yo soy la Panto y le llamo y le digo eres huérfano porque para mi no eres mi hijo, mi hijo muri0 y ponte a trabajar Koka de una pvta vez en tu vida Y le cuelgo #KikoVuelve</t>
  </si>
  <si>
    <t>pic.twitter.com/fLObufJPJf</t>
  </si>
  <si>
    <t>binnie</t>
  </si>
  <si>
    <t>fav y eres mi novie pero en serio pero me tienes que ordenar a que haga ya de una pvta vez los trabajos de la uni a tiempo y sin distracciones gracias</t>
  </si>
  <si>
    <t>★ he/them ᵕ̈ ˚✿ follow @otupbin</t>
  </si>
  <si>
    <t>ًJen</t>
  </si>
  <si>
    <t>Me amas? Y si no Ámame pvta — Dime quién eres y te digo que te amo</t>
  </si>
  <si>
    <t>https://curiouscat.qa/kooktev/post/1177261470</t>
  </si>
  <si>
    <t>흔들리고 두려워도 앞으로 걸어가
폭풍 속에 숨겨뒀던 진</t>
  </si>
  <si>
    <t>⠀ ⠀ ⠀⠀ ⠀ — 𝖩𝗎𝗇𝗀𝗄𝗈𝗈𝗄'𝗌 𝖿𝖺𝗏𝗈𝗋𝗂𝗍𝖾 𝗀𝗂𝗋𝗅 𝖺𝖼𝖼𝗈𝗎𝗇t ͏͏͏͏͏͏͏ ͏͏͏͏͏͏͏ ͏͏͏͏ ͏͏͏͏͏͏͏ ͏</t>
  </si>
  <si>
    <t>https://Taekook.xn--ytc/</t>
  </si>
  <si>
    <t>@matute</t>
  </si>
  <si>
    <t>Pero si eres un mastín viviendo a costa nuestra toda tu pvta vida. RT @J_Zaragoza_: A la mayoría de los que se quejan que pagan demasiados impuestos se les quedaría cara de tontos cuando les llegase la factura: Del seguro médico De la pensión privada De la educación privada Del la seguridad privada De todo lo que ahora no pagan por ser público y deberían pagar</t>
  </si>
  <si>
    <t>https://twitter.com/J_Zaragoza_/status/1352883811403628544</t>
  </si>
  <si>
    <t>No me seguís por feo y lo sé, yo tampoco lo haría, je je. pero...si me sigues, te sigo.</t>
  </si>
  <si>
    <t>PUNTA LEYENDA 🇪🇦</t>
  </si>
  <si>
    <t>A mí me parece justo que te hubieses muerto tú en lugar de Gregorio Ordóñez o Miguel Ángel Blanco, hija de pvta malnacida, que eres el aborto de una mona con sida.</t>
  </si>
  <si>
    <t>https://pbs.twimg.com/media/EsbjewmW8AUa4rw.jpg</t>
  </si>
  <si>
    <t>Consejero Delegado del #Teamfacha. Da gloria verme tocar balón. Jefe de equipo en @digolpefranco. Dios, Patria y Punta.</t>
  </si>
  <si>
    <t>Iroko 🇪🇸</t>
  </si>
  <si>
    <t>Defiendes a ETA, eres un hijo de pvta. No hay más.</t>
  </si>
  <si>
    <t>recopilando</t>
  </si>
  <si>
    <t>Mucha, solo apto para inteligentes.</t>
  </si>
  <si>
    <t>hache | ups🌹🦋</t>
  </si>
  <si>
    <t>Amistad es yo soy tu pvta y tú eres la mía</t>
  </si>
  <si>
    <t>🌿🌧🏳️‍🌈</t>
  </si>
  <si>
    <t>http://instagram.com/zairix_</t>
  </si>
  <si>
    <t>Nahlla🦋</t>
  </si>
  <si>
    <t>Escuche a un carajo decir "esa chama es equis, no es wow" mira esa chama es wow y muchisimo mas, tu no eres wow eres una mierda y lo tienes chiquito de paso así que cállate la pvta boca mejor</t>
  </si>
  <si>
    <t>Venezuela</t>
  </si>
  <si>
    <t>q sea sempiterno todo lo q nos hace bien.</t>
  </si>
  <si>
    <t>https://www.instagram.com/nahlluli?r=nametag</t>
  </si>
  <si>
    <t>D.EdLuNo</t>
  </si>
  <si>
    <t>#rixviolador sin duda. Pero sin duda, mucho ojo a toda la gente. No tomen de más. Eres libre de hacer lo que quieras pero recuerda. En primera, por salud y segunda y más importante, porque existe gente hija pvta que se puede aprovechar de ti.</t>
  </si>
  <si>
    <t>angie🌻</t>
  </si>
  <si>
    <t>Lo dice el que expuso a su novia como pvta eres la misma basura que hipócrita  RT @DebRyanShow: Ya me había distanciado de ti @rix en el momento en el que le faltaste al respeto a mi esposa @AyGreciaa pero con lo que le hiciste a @nathcampost te pasaste de Verga, ojalá me hubiera enterado antes. Que decepción haberte tenido como amigo. ❌</t>
  </si>
  <si>
    <t>https://twitter.com/DebRyanShow/status/1352742958777286656</t>
  </si>
  <si>
    <t>pic.twitter.com/gCUVUbv6j6</t>
  </si>
  <si>
    <t>• earth •</t>
  </si>
  <si>
    <t>#ᶜᵒᵒʰᵉᵃʳᵗ:ᵀʰᵃⁿᵏ ᵘ ˢᵒ ᵐᵘᶜʰ ᴵ ˡᵘᵛ ᵘ ᶠʳᵒᵐ ᵀʰᵃⁱˡᵃⁿᵈ💛 •ᵇˡ ˢᵗᵃⁿ• ° ᶠᵃⁿ ᵃᶜᶜᵒᵘⁿᵗ °</t>
  </si>
  <si>
    <t>http://bbasjtr.xn--c6h/</t>
  </si>
  <si>
    <t>martha ☁</t>
  </si>
  <si>
    <t>a ti se te olvido cuando acordabas a dhasia solo xq no quería volver contigo???que la llamabas pvta?? que ella conto que tenías vídeos de mujeres en tu cel??? tu eres parte del mismo pinchi problema pendejo RT @DebRyanShow: Ya me había distanciado de ti @rix en el momento en el que le faltaste al respeto a mi esposa @AyGreciaa pero con lo que le hiciste a @nathcampost te pasaste de Verga, ojalá me hubiera enterado antes. Que decepción haberte tenido como amigo. ❌</t>
  </si>
  <si>
    <t>no body, no crime</t>
  </si>
  <si>
    <t>https://youtu.be/fv1toOv2M1M</t>
  </si>
  <si>
    <t>Cran Suggggarman</t>
  </si>
  <si>
    <t>Pinche cínico, que abres la pvta boca si eres igual de machito, patán, misógino e hipócrita. Los dos son la misma basura. RT @DebRyanShow: Ya me había distanciado de ti @rix en el momento en el que le faltaste al respeto a mi esposa @AyGreciaa pero con lo que le hiciste a @nathcampost te pasaste de Verga, ojalá me hubiera enterado antes. Que decepción haberte tenido como amigo. ❌</t>
  </si>
  <si>
    <t>Moto biker lover. 🏍️💕 Mattel Dollie.🌺 Feminist. 💜 Futura certificada en TKT. 🌎 Contaduría. 🖋️</t>
  </si>
  <si>
    <t>𝑳𝒊𝒈𝒊𝒂📸</t>
  </si>
  <si>
    <t>"Nath también es culpable por no medirse en cuanto a que tomar" DE VERDAD ERES TAN IDIOTA PARA DECIR ESO?!! ELLA Y CUALQUIER OTRA MUJER QUE EXISTE ES LIBRE DE TOMAR Y VESTIRSE COMO SE LE PEGUE LA PVTA GANA, ESA NO ES EXCUSA PARA QUE UN HDP ENFERMO LA ACOSE Y/O ABUSE DE ELLA...+</t>
  </si>
  <si>
    <t xml:space="preserve">Panamá 🇵🇦 </t>
  </si>
  <si>
    <t>Lee 🍀</t>
  </si>
  <si>
    <t>Te odi0 hijo de re mil pvta. Pinche mierda asquerosa, jamás debiste existir porquería insignificante, eres detestable y lo peor en este puto universo, debiste ser un pedazo de hoja así solo sirves para algo Maldito Lee, pudrete</t>
  </si>
  <si>
    <t>𝑺𝒐𝒑𝒉𝒊𝒂🏳️‍🌈</t>
  </si>
  <si>
    <t>NO ES LA GORDITA LA Q TIENE Q BAJAR DE PESO Y TAMPOCO LA FLAQUITA LA Q TIENE Q ENGORDAR, ERES TU Q TIENES Q CERRAR TU PVTA BOCA Y DEJAR DE OPINAR</t>
  </si>
  <si>
    <t>Córdoba, Argentina</t>
  </si>
  <si>
    <t>•soy muy sensible y muy mierda a la vez •💚💜✊🏼 •♋</t>
  </si>
  <si>
    <t>一❀</t>
  </si>
  <si>
    <t>Si puedes responder este tweet es porque eres pvta sjsjjskdkdjd🤙😻</t>
  </si>
  <si>
    <t>𝐴𝑃𝐴𝐺𝐴 𝐿𝐴 𝐿𝑈𝑍💡</t>
  </si>
  <si>
    <t>𝐓𝐫𝐢𝐮𝐧𝐟𝐚𝐫 𝐬𝐢𝐞𝐦𝐩𝐫𝐞 𝐝𝐞𝐬𝐩𝐞𝐫𝐭𝐚𝐫𝐚́ 𝐚 𝐦𝐮𝐜𝐡𝐚𝐬 𝐞𝐧𝐯𝐢𝐝𝐢𝐨𝐬𝐚𝐬🎀🦋</t>
  </si>
  <si>
    <t>lola 🦂</t>
  </si>
  <si>
    <t>sabrina alfombra eres una cerda mala y pvta en esta cuenta stanneamos a olivia</t>
  </si>
  <si>
    <t>🏳️‍🌈</t>
  </si>
  <si>
    <t>estoy triste págame https://www.paypal.me/lolaam02</t>
  </si>
  <si>
    <t>http://instagram.com/lolaam02</t>
  </si>
  <si>
    <t>Smirnoff de Manzana</t>
  </si>
  <si>
    <t>21:21 el 21 del 21, lo que significa que eres pvta</t>
  </si>
  <si>
    <t>Lima, Peru</t>
  </si>
  <si>
    <t>Gossip Girl, Season 1, Episode 5, 5:27 😉</t>
  </si>
  <si>
    <t>súper popular qué dice tú quién eres pvta</t>
  </si>
  <si>
    <t>Daniela Bot</t>
  </si>
  <si>
    <t>Pero cuando Luis dijo que estaba enfermo ahí si despotricaste que era un politiquero verdad? Eres la cara de pvta doble moral. RT @_VicenteSerrano: ¿Y si así fuera en el caso de la colega @sandyaguilera? Si se trató de un procedimiento estético ¿Qué? Creo que es muy mezquino que se esté poniendo atención a eso y no a lo más importante, su salud. Se encuentra delicada y merece todo el respeto. Por favor, no sean desgraciados</t>
  </si>
  <si>
    <t>https://twitter.com/_vicenteserrano/status/1352320459715485696</t>
  </si>
  <si>
    <t>Quiero un Mexico mejor. Me dedico a lo mío, haré valer mi voto y siempre defenderé mis creencias #Chairohunters</t>
  </si>
  <si>
    <t>🇪🇦🇪🇦 💥💥JOSE💥💥 🇪🇦🇪🇦</t>
  </si>
  <si>
    <t>No se quien eres.... No se que buscas No se que ganas... Pero hackear la cuenta de Berta, para después intentar hackear la mía, es de ser un HDLGP. FOLLA HIJO DE PVTA, Y ASÍ TE ENTRETIENES.</t>
  </si>
  <si>
    <t>https://pbs.twimg.com/media/EsRvz8aXMAALgX-.jpg</t>
  </si>
  <si>
    <t>Español por la gracia de Dios🇪🇦🇪🇦 No indepes ⛔No Rojos⛔No MD⛔ VOX 💚💚💚 Mi dragona @estrellatardia ❤️</t>
  </si>
  <si>
    <t>J.Santiago Alaiz🇪🇸</t>
  </si>
  <si>
    <t>El número 3 del PSOE, explica lo que son sus valores: Puedes ser un hij0 d pvta, pero si eres un hij0 d pvta de los nuestros, te podemos defender hasta que nos interese RT @Tonicanto1: Ábalos, palillo en boca, ataca de nuevo. Nuestros mayores y los sanitarios esperando la vacuna. Políticos sinvergüenzas que se aprovechan de su cargo para vacunarse antes de tiempo. Y el ministro suelta que no es lo mismo si lo hace un alcalde del PSOE que un consejero del PP.</t>
  </si>
  <si>
    <t>https://twitter.com/Tonicanto1/status/1351873059360280577</t>
  </si>
  <si>
    <t>pic.twitter.com/5vlZRxToFH</t>
  </si>
  <si>
    <t>Politólogo. La apariencia, nunca ganará a los hechos</t>
  </si>
  <si>
    <t>Capitán Super Porky 🦅</t>
  </si>
  <si>
    <t>Pero bien que te hacías el desentendido y alejabas el hocico de tus compañeros en el festejo del gol. Ojala estés bien y te recuperes pronto. Eres un hijo de Pvta pero aquí no se le desea el mal a nadie. RT @rogelio7funes: Como les gusta hablar sin saber, alimentan el morbo nada más. Respeten la enfermedad y a las personas. Sigamos cuidándonos 🙏🏽 son momentos muy difíciles.</t>
  </si>
  <si>
    <t>https://twitter.com/rogelio7funes/status/1352065097225568257</t>
  </si>
  <si>
    <t>México Capital del Universo</t>
  </si>
  <si>
    <t>ONORUAME 🦅🇺🇦</t>
  </si>
  <si>
    <t>drainer</t>
  </si>
  <si>
    <t>Y yo mañana me levanto a las 6 @zidane eres un embaucador un peoxeneta de emociones un zarrapastroso un terr0rista de sueños y un hijo de la grandrisima pvta</t>
  </si>
  <si>
    <t>me gustan las chicas</t>
  </si>
  <si>
    <t>Alanjas</t>
  </si>
  <si>
    <t>Si te llamo pvta es pq eres mi pvta pero habrá problemas si alguien más te llama pvta</t>
  </si>
  <si>
    <t>Altamira, Tamaulipas</t>
  </si>
  <si>
    <t>†</t>
  </si>
  <si>
    <t>ᴮᴱLil ♕︎🍓</t>
  </si>
  <si>
    <t>MALDITA POR DIOS ES UN BEBE COMO TE LO VAS A ROBAR ERES UNA ENFERMA DESGRACIADS TE QUIERO SACAR LOS OJOS Y CORTSR LAS MASNO DIOS TAN HIJA DE PVTA VAS A A SER RT @voidagust: ˗ˏˋ 1645 ˎˊ˗</t>
  </si>
  <si>
    <t>https://twitter.com/voidagust/status/1334319411495391232</t>
  </si>
  <si>
    <t>https://pbs.twimg.com/media/EoR0Z8TWMAIbVTo.jpg</t>
  </si>
  <si>
    <t>𝐒𝐤𝐳🧃</t>
  </si>
  <si>
    <t>𝑭𝒐𝒓 𝒔𝒌𝒛 𝒂𝒏𝒅 𝑩𝒕𝒔 🥞⭐ #Yoongi: 𝚀𝚞𝚒𝚎𝚛𝚘 𝚚𝚞𝚎 𝚕𝚊 𝚐𝚎𝚗𝚝𝚎 𝚘𝚋𝚝𝚎𝚗𝚐𝚊 𝚎𝚗𝚎𝚛𝚐𝚒𝚊 𝚙𝚘𝚜𝚒𝚝𝚒𝚟𝚊 𝚍𝚎 𝚗𝚞𝚎𝚜𝚝𝚛𝚊 𝚖𝚞𝚜𝚒𝚌𝚊</t>
  </si>
  <si>
    <t>https://hyunjin.xn--c6h/</t>
  </si>
  <si>
    <t>UnPollitoHabla🐣💋👋🏽</t>
  </si>
  <si>
    <t>Anda kiko ya conseguiste lo que querías. Asqueroso. Que te caiga una buena demanda, y tú hija no te vuelva hablar en tu pvta vida. Eres un ser despreciable. #yoveosalvame</t>
  </si>
  <si>
    <t>Las Palmas de Gran Canaria</t>
  </si>
  <si>
    <t>Comento lo que me sale del pico.🐥</t>
  </si>
  <si>
    <t>Yors, el tuiter failure.</t>
  </si>
  <si>
    <t>Cada quien hace de su cvlo un papalote, tus preferencias sexuales me valen brga, tu esencia como persona es la que importa, así que si eres hétero, gay, bi, trans o cualquiera de tantas, pero eres buena persona te lo diré así, y si eres un hijo de pvta también te lo diré así...</t>
  </si>
  <si>
    <t>Queretatoro, la Cd prometida</t>
  </si>
  <si>
    <t>Anti tuitstar...</t>
  </si>
  <si>
    <t>Miguel  Moreno</t>
  </si>
  <si>
    <t>Con esta situación de huída de capitales, se puede ser dos cosas, o moralistas, o prágmaticos. -Moralista: ERES UN HIJODEPVUTA EGOÍSTA A TU ABUELA LA VA A CURAR TU PVTA MADRE OJALÁ TENGAS CANCER QUE TE VAYA MUY BIEN EN ANDORRA CIERRA AL SALIR. Dinero recaudado=0 € #YouTubers</t>
  </si>
  <si>
    <t>Logroño, España</t>
  </si>
  <si>
    <t>Agronomic engineer. Injury prone amateur #rugby player. #Sports fan. #F1 since 1999 #TotalWar freak.</t>
  </si>
  <si>
    <t>Cayetano</t>
  </si>
  <si>
    <t>Las personas de mierda jamás van a aceptar que son mierdas. Siempre van a creer que tienen la razón y el día que le digas algo que hicieron mal, se van a victimizar para que tu te disculpes. Por que no hay peor hijo de pvta que el que te hace creer que el hijo de pvta eres tú.</t>
  </si>
  <si>
    <t>Málaga, España</t>
  </si>
  <si>
    <t>Malagueños y señores en el fútbol español.</t>
  </si>
  <si>
    <t>Twitter Query: Pvta lang:es -filter:retweets -filter:replies</t>
  </si>
  <si>
    <t>JESGS</t>
  </si>
  <si>
    <t>Vaya pvta mierda!!! Todos los rogelios desfilando y cobrando. TVE tirando el dinero. Y pretenden que nos riamos. #LaNocheDAmor</t>
  </si>
  <si>
    <t>Cantabria, España</t>
  </si>
  <si>
    <t>Tanto monta, monta tanto.</t>
  </si>
  <si>
    <t>Pedrista #UNbanned 🦜🦜🦜🦜</t>
  </si>
  <si>
    <t>Bien tirada soldado espero que no sea una pvta RT @SpicyVelitas:</t>
  </si>
  <si>
    <t>https://twitter.com/SpicyVelitas/status/1354170929220382723</t>
  </si>
  <si>
    <t>https://pbs.twimg.com/media/Esr7SHrXEAIIzZF.jpg</t>
  </si>
  <si>
    <t>Falangismo y pajaritos. Pepe Reina fan account cuenta B (que en realidad es la A): @Pedrus_Vult</t>
  </si>
  <si>
    <t>Keii</t>
  </si>
  <si>
    <t>Escuchaste lali hija de pvta RT @lalisfire: Lali Espósito : Que Lali haga single "Pa que me quieras" con Noriel - ¡Firma la petición!  vía @ChangeorgLatino @lalioficial @Noriel_Danger</t>
  </si>
  <si>
    <t>https://twitter.com/lalisfire/status/1353839280314085376
http://chng.it/wjTG75Cq</t>
  </si>
  <si>
    <t>Pedro Pablo Martínez ⚫️</t>
  </si>
  <si>
    <t>Yo es que me cago en mi pVta vida. RT @SergioValent1n: Luka Jovic ha mencionado el idioma y que Zidane no supiera inglés, como uno de los motivos por los que no ha funcionado en el Real Madrid. Creo que un entrenador en un club de élite, debería saber inglés. Lo que le ha pasado a Jovic, le puede pasar a otro.</t>
  </si>
  <si>
    <t>https://twitter.com/sergiovalent1n/status/1354113976934793217</t>
  </si>
  <si>
    <t>Madrid</t>
  </si>
  <si>
    <t>Los madridistas no morimos, nos juntamos en el infierno. “Madrileñista”.</t>
  </si>
  <si>
    <t>♡MACA♡</t>
  </si>
  <si>
    <t>ME DUELEEEEEE ME QUEMAAAAA QUE HIJX DE PVTA PUSO ESTO EN MI TL?????????????? RT @TXT_members: 비가 꽤 오고 있네요 ㅇㅅㅇ!!! 모두 우산 잘 챙겼죵?!?! 집 갈때 비 맞으면 안돼요!!! 그럼 오늘도 좋은 하루 보내세욤♡ +이거 어제 올릴려고했는데 하하하하핳ㅎ... #껌딱지즈</t>
  </si>
  <si>
    <t>https://twitter.com/TXT_members/status/1301064971074170881</t>
  </si>
  <si>
    <t>https://pbs.twimg.com/media/Eg5PoMZUYAIZzvI.jpg</t>
  </si>
  <si>
    <t>🌸MOA🌸Ella/la🌸dibujos🌸https://instagram.com/3a.m_draws._?igshid=n3jjn7udizvp 🌸</t>
  </si>
  <si>
    <t>𝕽𝖎𝖛𝖉𝖎𝖆</t>
  </si>
  <si>
    <t>Tampoco iría pvta RT @jonjuanma: Gente que no invitaré a mi cumpleaños: políticos progres, perroflautas, anarquistas, feministas del cazo y ministros o adjuntos del PCE.</t>
  </si>
  <si>
    <t>https://twitter.com/jonjuanma/status/1354062293454254080</t>
  </si>
  <si>
    <t>Barcelona</t>
  </si>
  <si>
    <t>Смерть усім хто перешкоджає свободі трудящих💀</t>
  </si>
  <si>
    <t>Yastin Bv</t>
  </si>
  <si>
    <t>#rubiusvuelve haz directo hijo de pvta</t>
  </si>
  <si>
    <t>Neska</t>
  </si>
  <si>
    <t>H d pvta si te has tocado los 🥚🥚 llévate a Simón anda!  RT @COPE: El 'modesto' Salvador Illa: "Creo que dejo el trabajo bastante bien encarrilado"</t>
  </si>
  <si>
    <t>https://twitter.com/cope/status/1354034044506419201
https://www.cope.es/n/1106376</t>
  </si>
  <si>
    <t>pic.twitter.com/vnkeQyQLGU</t>
  </si>
  <si>
    <t xml:space="preserve">Siempre de frente.. </t>
  </si>
  <si>
    <t>Querer a quien no te quiere, es como esperar el tren en el aeropuerto. Pedes in terra ad sidera visus.</t>
  </si>
  <si>
    <t>Jorge Matías</t>
  </si>
  <si>
    <t>Hijos de pvta. RT @gonzoonews: Un restaurante lleva el mítico debate de la pizza con piña a otro nivel y crea una pizza dentro de una piña</t>
  </si>
  <si>
    <t>https://twitter.com/gonzoonews/status/1354117905114419201
http://ver.20m.es/z2msu2</t>
  </si>
  <si>
    <t>https://pbs.twimg.com/media/EsrLDbEXYAAG4vd.jpg</t>
  </si>
  <si>
    <t>Ídolo del extrarradio.</t>
  </si>
  <si>
    <t>Scepticus</t>
  </si>
  <si>
    <t>Es una pvta vergüenza, pero aquí se traga con todo. No hay más que ver las encuestas sobre intención de voto. #GobiernoCriminalyCorrupto #GobiernoDeLaMentira #GobiernoSocialDelincuente #GobiernoDeIneptos RT @GuajeSalvaje: Miquel Iceta, ministro de Política Territorial que defiende el indulto para los presos golpistas y "si el 65% de catalanes quiere la independencia, la democracia deberá hacerlo posible". ¿Un nacionalista defenderá la Constitución y la unidad de España? #ElPeorGobiernoDeLaHistoria</t>
  </si>
  <si>
    <t>https://twitter.com/guajesalvaje/status/1354125534356238337</t>
  </si>
  <si>
    <t>мєяу❤️</t>
  </si>
  <si>
    <t>🔴IMPORTANTE🔴 No os perdáis esta pvta maravilla. O lo q es lo mismo, yo lo vi, vosotr@s también 😂😂😂 RT @crazyredhair1: No os vengáis abajo, todavía hay un himno que puede salvarnos. Emberdat, hundíos.</t>
  </si>
  <si>
    <t>https://twitter.com/crazyredhair1/status/1354043228866146305</t>
  </si>
  <si>
    <t>pic.twitter.com/AA1txhYSqt</t>
  </si>
  <si>
    <t>Valencia, Comunidad Valenciana</t>
  </si>
  <si>
    <t>Me encantan los iconos y los GIF y los pongo a mansalva. Estás avisad@ 😜</t>
  </si>
  <si>
    <t>Aʟᴇxᴀɴᴅᴇʀ Dɪɢɢᴏʀʏ</t>
  </si>
  <si>
    <t>Mirian Rafaela ija de tu pvta madre 😂😂</t>
  </si>
  <si>
    <t>En la kmara de los sicrets bb</t>
  </si>
  <si>
    <t>Hijo de Boldemort y Lili Ebans. Heredero de Godric. Likntropo y sobrino de Esneip. Metamorfomago Frío, distante y miyonario. Tu embidia meda fama #SHSQ</t>
  </si>
  <si>
    <t>Chakira</t>
  </si>
  <si>
    <t>Me dijeron mira tu novio interactua mucho en tw con una tal chakira, coño vale quien sera esa pvta</t>
  </si>
  <si>
    <t>Ciega, sorda y muda</t>
  </si>
  <si>
    <t>ana pu🐬</t>
  </si>
  <si>
    <t>no me voy a cansar de esta canción en mi pvta vida</t>
  </si>
  <si>
    <t>https://open.spotify.com/track/1D4PL9B8gOg78jiHg3FvBb?si=wQhvxc68RSCIuvo6Uxtoag</t>
  </si>
  <si>
    <t xml:space="preserve">Santander, Cantabria </t>
  </si>
  <si>
    <t>fearless taylor swift; track3</t>
  </si>
  <si>
    <t>Azael</t>
  </si>
  <si>
    <t>¿Qué es lo más raro de poner en una pizza? — el ananá hijos d pvta</t>
  </si>
  <si>
    <t>https://curiouscat.qa/Azaamaranto/post/1178128171</t>
  </si>
  <si>
    <t>hincha de cfk</t>
  </si>
  <si>
    <t>ąʂ℘ɧყҳıą</t>
  </si>
  <si>
    <t>Una licenciada en derecho y carguito para el bailarín destronao. Parece un chiste si no fuera porque no tiene pvta gracia. RT @elmundoes: #ÚltimaHora🔴 Pedro Sánchez coloca a Carolina Darias en Sanidad y confía la Política Territorial a Miquel Iceta</t>
  </si>
  <si>
    <t>https://twitter.com/elmundoes/status/1354111485677600775
http://socy.es/dhrnj2</t>
  </si>
  <si>
    <t>Alicante, Madrid, Manchester</t>
  </si>
  <si>
    <t>“Me ofende el mundo y sus tonterías”. Odio volar. El viento me pone dolor de cabeza. La gente estúpida también. @CarlosJG otro café!!</t>
  </si>
  <si>
    <t>𝓂𝒾𝓃 𝒽𝑜𝓁𝓁𝓎 93ᴮᴱ 🇨🇴 🧸🍓</t>
  </si>
  <si>
    <t>No pude volver a entrar .,_,. mi Wifi dijo "no pvta" y se enloqueció porque no sirveeee @BTS_twt</t>
  </si>
  <si>
    <t>Aokigahara</t>
  </si>
  <si>
    <t>✧─────────────╮ │ ❐Yoonginista ♡ // Only Army │ ❐BTS supremacy │ ❐𝗦𝗈𝗎𝗅𝗆𝖺𝗍𝖾 ❝@ynme_46 ❞ │ ❐No Yoongi, no life │ ♥︎̶ 방탄소년단만 좋아요 @BTS_twt ✧─────────────╯</t>
  </si>
  <si>
    <t>luciérnaga</t>
  </si>
  <si>
    <t>si ven un@ mutual con el user de @julsdamelio no l@ sigan por pvta!</t>
  </si>
  <si>
    <t>she¡her</t>
  </si>
  <si>
    <t>fan account - #SHAWN i remember that i am a normal boy who loves music ”...</t>
  </si>
  <si>
    <t>https://isasouza.xn--5ci</t>
  </si>
  <si>
    <t>ChiquiPlum</t>
  </si>
  <si>
    <t>Tengo muchos años negándome pero hoy debo admitir que creo que soy una pvta otaku xd</t>
  </si>
  <si>
    <t>25. Venezuela</t>
  </si>
  <si>
    <t>http://instagram.com/berlysvera</t>
  </si>
  <si>
    <t>more crack</t>
  </si>
  <si>
    <t>mi prima puso los temas de floricienta que hija d pvta quiere que me largue a llorar</t>
  </si>
  <si>
    <t>en tanga arriba de la barra</t>
  </si>
  <si>
    <t>dije que no iba a llorar por españolas pero aca me ven</t>
  </si>
  <si>
    <t>https://twitter.com/violeurtizberea/status/1266565552711106561?s=19</t>
  </si>
  <si>
    <t>Yolanda a secas</t>
  </si>
  <si>
    <t>No mmn! Que pvta decadencia y desmemoria. RT @proceso: La candidatura de Jorge Hank Rhon pone en aprietos la gubernatura para Morena y Marina el Pilar Ávila, quien no tenía contendientes fuertes, incluso la exmiss universo Lupita Jones, con quien PRI-PAN-PRD está en pláticas para llevarla de candidata.</t>
  </si>
  <si>
    <t>https://twitter.com/proceso/status/1354127442252849152
http://ow.ly/ay1x50DicD9</t>
  </si>
  <si>
    <t>Defeño</t>
  </si>
  <si>
    <t>Antropóloga ENAH, Investigo sobre concepciones y representaciones en torno a la diabetes. Mal hablada y medio intolerante.</t>
  </si>
  <si>
    <t>Lil.</t>
  </si>
  <si>
    <t>"sí... y digo: "pvta manera, 0te"..."</t>
  </si>
  <si>
    <t>【21☆ | Barely dead | I hate myself and I want 2 die】</t>
  </si>
  <si>
    <t>http://dreamkillerlies.blogspot.com/</t>
  </si>
  <si>
    <t>nani 💙 나니</t>
  </si>
  <si>
    <t>Todo esto por una pvta imagen, consiganse una vida pues</t>
  </si>
  <si>
    <t>treasuretxtnctbrightwin</t>
  </si>
  <si>
    <t>.𖤣𖥧˚ multi que parece only teume ˚𖥧𖤣.</t>
  </si>
  <si>
    <t>https://nanilyn.carrd.co/</t>
  </si>
  <si>
    <t>Angelo👑👑👑👑💚💚💚🇪🇸 🇪🇸</t>
  </si>
  <si>
    <t>Españoles SALIMOS YA A LAS CALLES DE UNA PVTA VEZ?. #GobiernoCriminal #GobiernoDeAsesinos #IglesiasAPrision #GobiernoDeInutiles #GobiernoDelBulo #SanchezDictador #SanchezPsicopata #SanchezVeteYa #IglesiasAPrision #SanchezDimision RT @AdrianBelaza: Carolina Darias será la nueva Ministra de Sanidad en medio de la peor ola de Coronavirus en España. Y diréis "seguro que es alguien formado en materia de salud" ¿verdad?. Bien pues agarraos, ahí os va: -Licenciada en Derecho. -Doctorado sobre Ciencia Jurídica. Sigo hilo: ⬇️</t>
  </si>
  <si>
    <t>https://twitter.com/AdrianBelaza/status/1354111656733929474</t>
  </si>
  <si>
    <t>Vanetza🎻</t>
  </si>
  <si>
    <t>Auron: Te han quitao' el caballo Reborn.. Reborn: ¡Me kgo en su pvta madre!&gt;:(</t>
  </si>
  <si>
    <t>Durango, México</t>
  </si>
  <si>
    <t>En éste twitter creémos en Mozart, y en el arte de la escritura. Enamorada del violín y de Bach. ¡LEGALICEN EL CRUCIO!🐍💚</t>
  </si>
  <si>
    <t>ali⁷</t>
  </si>
  <si>
    <t>pvta clase ya acaba ya quiero ver a mis 7 varonessss</t>
  </si>
  <si>
    <t>mexico lindo y querido|she/her</t>
  </si>
  <si>
    <t>𖦹︎ ᵕ̈ 𝟵 for the gays and the girls</t>
  </si>
  <si>
    <t>http://MomoCasateConmigopls.com</t>
  </si>
  <si>
    <t>Fernandito</t>
  </si>
  <si>
    <t>hace más de 1h esperando para poder jugar una PVTA partida DE CSGO LPMM</t>
  </si>
  <si>
    <t>Ciudad Autónoma de Buenos Aire</t>
  </si>
  <si>
    <t>aprendiendo de mis errores y progresando de ello.</t>
  </si>
  <si>
    <t>https://www.instagram.com/ferpintos_19/?hl=es-la</t>
  </si>
  <si>
    <t>PajaritoIV</t>
  </si>
  <si>
    <t>Si tuviera bar/restaurante (que los he tenido) y me viniera algún integrante del gobierno ten por seguro que a mi negocio no entraban. Ala pvta calle cabr0nes!! #GobiernoCriminalyCorrupto #GobiernoDeInutiles #ProtestaEnMoncloa 🇪🇦 RT @Manhattanplanet: Espero que los hosteleros y demás autónomos arruinados por Illa le regalen una buena dosis de fruta y huevos pochos en Cataluña.</t>
  </si>
  <si>
    <t>https://twitter.com/Manhattanplanet/status/1354120530366967808</t>
  </si>
  <si>
    <t>Viva España. Cuarta cuenta por CENSURA. La verdad te hará LIBRE.</t>
  </si>
  <si>
    <t>ᴸⁱⁿ</t>
  </si>
  <si>
    <t>Soñe que quera bien pvta jajajajaja</t>
  </si>
  <si>
    <t>你的存在使我快乐</t>
  </si>
  <si>
    <t>自从我在2016年认识你, 我知道我的责任是和你在一起直到最后, 我只想告诉你我支持你并爱你, 你是个好人仁俊</t>
  </si>
  <si>
    <t>https://xn--nmq0yj90q.xn--8h8h/</t>
  </si>
  <si>
    <t>🇪🇸The patriot🇪🇸</t>
  </si>
  <si>
    <t>Nada, hay que aprender chino. Su pvta madre, si ya me cuesta el español...</t>
  </si>
  <si>
    <t>https://pbs.twimg.com/media/EsrMXA8W8AEEvbO.jpg</t>
  </si>
  <si>
    <t>Contra la partitocracia, revolución. Familia-Patria-Capitalismo. España no es una democracia, da el paso y denúncialo constantemente.</t>
  </si>
  <si>
    <t>Elena GR ⚡🐍</t>
  </si>
  <si>
    <t>Aquí los del ministerio de Igual-da decidiendo quién puede ser feminista y quién no. Imagina no llamarles hijos de pvta. RT @IgualdadGob: 🗨️ "El feminismo que no es antirracista, anticapitalista y solidario con aquellos que están atrapados en la pobreza por culpa del capitalismo global, es una contradicción de términos".</t>
  </si>
  <si>
    <t>https://twitter.com/IgualdadGob/status/1354015306667143171</t>
  </si>
  <si>
    <t>Spain</t>
  </si>
  <si>
    <t>Ni una más, ni una menos. Ni uno más, ni uno menos. El verdadero Arte son los gatos. Si no te gusta, argumenta.🇪🇸</t>
  </si>
  <si>
    <t>lu</t>
  </si>
  <si>
    <t>basta hijos de mil pvta ojala los suspendan a todos DEJEN DE SUBIR ESAS FANCAMS</t>
  </si>
  <si>
    <t>grey+sloan</t>
  </si>
  <si>
    <t>- libra; track 9 | -K.O.; track 7</t>
  </si>
  <si>
    <t>http://camillaluddington.xn--9e8d/</t>
  </si>
  <si>
    <t>pau. | flop era☁🦋</t>
  </si>
  <si>
    <t>es que no voy a superar esto en mi pvta vida</t>
  </si>
  <si>
    <t>https://open.spotify.com/track/1VQTA3jeKZ9ul94xroHmbz?si=QTu8BsOvQeWPk3a3Q352vw</t>
  </si>
  <si>
    <t>#𝑱𝑨𝑴𝑰𝑬: 𝒑𝒐𝒑𝒑𝒊𝒏𝒔.♡ 𝐬𝐡𝐞/𝐭𝐡𝐞𝐲;</t>
  </si>
  <si>
    <t>Bldmffn</t>
  </si>
  <si>
    <t>Pvta inseguridad, pvto fb y pvtos todos :'v</t>
  </si>
  <si>
    <t>Die</t>
  </si>
  <si>
    <t>👤</t>
  </si>
  <si>
    <t>Nasi Respetador (Yager)</t>
  </si>
  <si>
    <t>ESTOY CHILLANDO EN MEDIO DE MI PVTA CLASE QUE ES ESTO RT @elchiringuitotv: 🕺🏻 ¡DUELO DE BAILES! Papu Gómez 🆚 @jpedrerol. ¿Con cuál te quedas? 🔁 RT = PAPU GÓMEZ ❤️ Me Gusta = PEDREROL Mándanos tu baile del Papu a nuestro Whatsapp para que lo veamos 👉 (+34) 682 629 737</t>
  </si>
  <si>
    <t>https://twitter.com/elchiringuitotv/status/1354077174551207936</t>
  </si>
  <si>
    <t>pic.twitter.com/Yvm4kaRRKo</t>
  </si>
  <si>
    <t>Usuario respetador de minorías étnicas, raciales, religiosas y lo que os salga del mismismo nabo.</t>
  </si>
  <si>
    <t>clau</t>
  </si>
  <si>
    <t>hermosa mañana para ser su pvta</t>
  </si>
  <si>
    <t>https://pbs.twimg.com/media/EsrDH3bW8AEvwYf.jpg</t>
  </si>
  <si>
    <t>ya te vas:(</t>
  </si>
  <si>
    <t>tengo una flor en el pecho</t>
  </si>
  <si>
    <t>Cristian</t>
  </si>
  <si>
    <t>Sólo deseaba despertar todos los días con su cabeza en mi pecho... pvta bidah</t>
  </si>
  <si>
    <t>Uruguay, Argentina</t>
  </si>
  <si>
    <t>cαяℓσѕ ɹopɹɓnǝz</t>
  </si>
  <si>
    <t>y yo qué culpa, pvta</t>
  </si>
  <si>
    <t>California Dreams</t>
  </si>
  <si>
    <t>no regrets, just love ⚡️ electric</t>
  </si>
  <si>
    <t>micx.</t>
  </si>
  <si>
    <t>se le ve el tatuaje soy su pvta RT @eilanswift: nataliAa</t>
  </si>
  <si>
    <t>https://twitter.com/eilanswift/status/1354099786333511680</t>
  </si>
  <si>
    <t>https://pbs.twimg.com/media/Esq6k65XMAgGrf9.jpg</t>
  </si>
  <si>
    <t>arg🇦🇷</t>
  </si>
  <si>
    <t>siempre se repite la misma mierda dijo la nati</t>
  </si>
  <si>
    <t>🌩️ TANYAa COMISIONES IN PROGRESS🌂</t>
  </si>
  <si>
    <t>cerebro hijo de pvta- RT @mateo9k: Please</t>
  </si>
  <si>
    <t>https://twitter.com/mateo9k/status/1353445903038820353</t>
  </si>
  <si>
    <t>https://pbs.twimg.com/media/Eshn39-XcAATgyW.jpg</t>
  </si>
  <si>
    <t xml:space="preserve">bAjo Tu cAmA  bb </t>
  </si>
  <si>
    <t>Cʀᴇᴀᴅᴏʀᴀ ᴅᴇ @CoMPaS_Land 🎯 casi 24/7 en tuter °Soy parte de una comunidad de 8 gays con cancer que se besan XD. Compas ᴀʀᴛɪsᴛ mUak //simp del @MartinGarrix</t>
  </si>
  <si>
    <t>https://www.instagram.com/tanylovexofi_/</t>
  </si>
  <si>
    <t>JovaNY</t>
  </si>
  <si>
    <t>Una pvta, falta de atención, con notoria falta cariño familiar hace un video victimizándose (además de monetizarlo y ganar su buenos pesos) y miren el revuelo que armó en esta red social. Felicidades asquerosa pvta.</t>
  </si>
  <si>
    <t>Distrito Federal, México</t>
  </si>
  <si>
    <t>🇲🇽</t>
  </si>
  <si>
    <t>mjito</t>
  </si>
  <si>
    <t>bueno mamamoo estaba en tendencias así que yo solo vengo para decir una cosa VAYAN A HACERLE STREAM A EGOTISTIC PVTA MADRE ESTAMOS A NADA DE LOS 100M ¿#¿#¡+¿$(×¿($¿$ Y A STARRY NIGHT TAMBIÉN C0Ñ0 QUE NO FALTA MUCHO</t>
  </si>
  <si>
    <t>https://pbs.twimg.com/media/Esq3BxJXIAUsUJz.jpg</t>
  </si>
  <si>
    <t>read carrd byf!!</t>
  </si>
  <si>
    <t>#MIYEON: i'm thinking about her smile</t>
  </si>
  <si>
    <t>http://hyejinsimp.carrd.co</t>
  </si>
  <si>
    <t>riann</t>
  </si>
  <si>
    <t>el pelo de tae en el nuevo run iahsuajzh todo te va a quedar bien hijo de pvta</t>
  </si>
  <si>
    <t>https://pbs.twimg.com/media/Esq0WlMW8AEVB3U.jpg</t>
  </si>
  <si>
    <t>trench</t>
  </si>
  <si>
    <t>𝕀𝕣𝕖𝕟𝕖🇪🇦🇦🇩</t>
  </si>
  <si>
    <t>veis como hago gracia hijos de pvta? 😭 RT @Pepo231_: @suriheartless @GanchitoC JAJDJSJSKSJKSJS BRO</t>
  </si>
  <si>
    <t>https://twitter.com/Pepo231_/status/1354092114452348929</t>
  </si>
  <si>
    <t>ᴀɴᴄᴀᴘɪᴀ</t>
  </si>
  <si>
    <t>𝐄𝐥 𝐪𝐮𝐞 𝐝𝐞𝐩𝐞𝐧𝐝𝐞 𝐝𝐞 𝐚𝐥𝐠𝐨 𝐞𝐬 𝐝𝐞𝐬𝐭𝐫𝐮𝐢𝐝𝐨 𝐩𝐨𝐫 𝐞𝐥𝐥𝐨. 🐍🏴💛 ISFP-T</t>
  </si>
  <si>
    <t>https://instagram.com/suriheartless?igshid=6spirpuxuy5s</t>
  </si>
  <si>
    <t>Señor Crueldad 3.0 🇺🇾</t>
  </si>
  <si>
    <t>Me enterraron al @CrueldadSenor y al @CrueldadSenor2 pero aquí estamos, rompiendo los huevos de nuevo. Disfruten a este #GoodBoysCrew mientras dure.</t>
  </si>
  <si>
    <t>FJaviello</t>
  </si>
  <si>
    <t>Pero vosotros lo veis normal? A estos hijos de pvta solo les interesan los votos!</t>
  </si>
  <si>
    <t>https://pbs.twimg.com/media/Esqy6CcXcAEVps0.jpg</t>
  </si>
  <si>
    <t>DALI V💚X 🇪🇸</t>
  </si>
  <si>
    <t>Hay que ser muy hijo de pvta para defender a los okupas cuando tienes 36 Guardias Civiles vigilando tu casa Pablo Iglesias.</t>
  </si>
  <si>
    <t>Madrid, Comunidad de Madrid</t>
  </si>
  <si>
    <t>Si vis pacem para bellum . Mitad Mujer mitad yegua🐎 . Pro vida , Pro Libertad y de rodillas sólo ante Dios y ante el Rey 💪🏻💚🇪🇸 V.E.R.D.E 👑</t>
  </si>
  <si>
    <t>ari_live</t>
  </si>
  <si>
    <t>basta, dije hoy no lloras pvta y los nenes sacan este video que no piensan en mi estabilidad tmr. chau, mientras lloro stream conchudes que hay metas hdp</t>
  </si>
  <si>
    <t>s!her – moɑrmy</t>
  </si>
  <si>
    <t>𝗉𝗋𝖾𝗒 𝖻𝗒 𝗍𝗁𝖾 𝗇𝖻𝗁𝖽 | 𝘀𝘂𝗽𝗲𝗿𝗯𝗹𝗼𝗼𝗺 ¡!</t>
  </si>
  <si>
    <t>http://aureborn.xn--1ci/</t>
  </si>
  <si>
    <t>Alejandro Miguel</t>
  </si>
  <si>
    <t>Cosas que no te van a pasar en tu pvta vida. RT @EnLatitud25: 🇮🇹 | El primer ministro italiano, Giuseppe Conte, anunció que renunciará a su cargo tras perder el respaldo de dos integrantes de su gabinete. 📄Hoy formalizará la dimisión ante sus ministros y al presidente, Sergio Mattarella. 🖋️Su intención es formar un nuevo Gobierno. #L25</t>
  </si>
  <si>
    <t>https://twitter.com/EnLatitud25/status/1354045891737481217</t>
  </si>
  <si>
    <t>https://pbs.twimg.com/media/EsqJMrsXMAAk6TP.jpg</t>
  </si>
  <si>
    <t>Encarnacion, Paraguay</t>
  </si>
  <si>
    <t>Abogado-UNI, Fundador de la @feuni_py, Presidente 2015 de la @JCIEncarnacion. Libre pensador.</t>
  </si>
  <si>
    <t>http://www.facebook.com/AleMiguell</t>
  </si>
  <si>
    <t>ɐlpəɹ🖤💛</t>
  </si>
  <si>
    <t>No puedo creer que estar un mes al pedo me hiciera tan mal pvta bidha</t>
  </si>
  <si>
    <t>DiosPastafari</t>
  </si>
  <si>
    <t>¿Profesión? Si no ha trabajado en su pvta vida, Hulio... RT @JuanNav56781811: He dejado un comentario a un señor de VOX @3porciento_3 la extrema derecha me está atacando en mi profesión y mis pasiones. Ellos son así, atacan en manada porque le molesta que Pedro Sánchez sea presidente. Silencio estamos gobernando fachitas. Lets good PSOE</t>
  </si>
  <si>
    <t>https://twitter.com/JuanNav56781811/status/1354013835888381952</t>
  </si>
  <si>
    <t>pic.twitter.com/JSGqpK3FlP</t>
  </si>
  <si>
    <t>Soy un espagueti volador convertido en Dios. Acepto almas y ofrendas. Prometo paraíso lleno de volcanes d cerveza y bailarinas striptease. Me gustan los viernes</t>
  </si>
  <si>
    <t>A ver aprenden ya ostia pvta RT @GeekRoomArg: 🚨RUMOR🚨 Según @DanielRPK la serie de Batwoman se cancelará luego de su segunda temporada. No me sorprendería...</t>
  </si>
  <si>
    <t>https://twitter.com/GeekRoomArg/status/1353896528310661120</t>
  </si>
  <si>
    <t>https://pbs.twimg.com/media/EsoBtmaXcAA6j-P.jpg</t>
  </si>
  <si>
    <t>°| baaka</t>
  </si>
  <si>
    <t>Lo único que necesito en mi pvta vida, tq un huevo @BOONNAA3 🤝</t>
  </si>
  <si>
    <t>https://pbs.twimg.com/media/EsqfuY8XMAAbeO6.jpg</t>
  </si>
  <si>
    <t xml:space="preserve">en la verga </t>
  </si>
  <si>
    <t>hasta las wbs</t>
  </si>
  <si>
    <t>https://instagram.com/angelicaa_arce?igshid=129d2tkzq2ix</t>
  </si>
  <si>
    <t>Menuda pvta estás hecha😉 un morito q te pusiera en tu sitio y verás como dejas de renegar de los q te han falicitado tu modo de vida. Pvta desagradecida...🤦🏼‍♂️ RT @paragonperez: Cada vez Tinder me parece un reflejo más claro de la crisis que está atrevasando la masculinidad, acostumbrada a ser el centro del universo y tener todo lo que quiere👇</t>
  </si>
  <si>
    <t>Deja de venir aquí a twittear y ponte a trabajar, haz algo útil, al menos una pvta vez en tu vida!! No te veo movilizando gente y encabezando manifestaciones en contra!! Otro tonto útil más... Pobrecillo ladronzuelo 🤦🏼‍♂️ RT @Tonicanto1: Lo que está haciendo Salvador Illa, es lo más repugnante que veo en política desde hace tiempo.</t>
  </si>
  <si>
    <t>https://twitter.com/Tonicanto1/status/1353972384991236096</t>
  </si>
  <si>
    <t>https://pbs.twimg.com/media/EspGs2_XcAAXPh0.jpg</t>
  </si>
  <si>
    <t>Napalm</t>
  </si>
  <si>
    <t>Me cago en vuestra pvta madre RT @NNGGAlicante: ❌ Exigimos la dimisión del presidente de @CEUA_ por la falta de respeto al presidente de @generalitat, @ximopuig. ➡️ Consideramos que se puede defender cualquier idea u opinión con argumentos sin necesidad de recurrir al insulto personal.</t>
  </si>
  <si>
    <t>https://twitter.com/NNGGAlicante/status/1354046606224580610
https://twitter.com/nngg_alc/status/1354036241768075264</t>
  </si>
  <si>
    <t>Soldado de Moloch. «Qué puta es la vida, eh?»</t>
  </si>
  <si>
    <t>Boris Gromenauer</t>
  </si>
  <si>
    <t>Porque no tiene ni pvta idea de por donde le pega el aire. ¡Siguiente pregunta! RT @La_SER: ¿Por qué insiste Fernando Simón en que hemos llegado al pico de la tercera ola cuando los contagios suben?  Hay tres cifras clave que detalla @mariolalourido en @HoyPorHoy con @AngelsBarcelo</t>
  </si>
  <si>
    <t>https://twitter.com/La_SER/status/1354009938209730561
https://cadenaser.com/ser/2021/01/26/sociedad/1611647261_323732.html</t>
  </si>
  <si>
    <t>https://pbs.twimg.com/media/EspOumsWMAA8s0Z.jpg</t>
  </si>
  <si>
    <t>Raticulín Sur</t>
  </si>
  <si>
    <t>Un Euro, un voto</t>
  </si>
  <si>
    <t>Carter</t>
  </si>
  <si>
    <t>No es por tirarme flores, pero a mi los niños se me dan d pvta madre, las cosas como son❤️❤️❤️😍😍</t>
  </si>
  <si>
    <t>Inglewood, CA</t>
  </si>
  <si>
    <t>Porompomperro VOX 🇪🇸</t>
  </si>
  <si>
    <t>Madre mía que Hijos de Pvta son!!! 😡</t>
  </si>
  <si>
    <t>https://okdiario.com/espana/psoe-ya-tiene-nueva-cruz-diana-memoria-historica-quiere-demoler-brozas-6737873</t>
  </si>
  <si>
    <t>Valencia (VLC 🦇) 🇪🇸</t>
  </si>
  <si>
    <t>Lo políticamente correcto empieza a parecerse a lo racionalmente estúpido. No hay peor lacra y miseria que la que trae el socialismo. De VOX ♻️ .</t>
  </si>
  <si>
    <t>Twitter Query: Cerda lang:es -filter:retweets -filter:replies</t>
  </si>
  <si>
    <t>Arte Hispánico</t>
  </si>
  <si>
    <t>Juan Francisco De La Cerda, Viii Duque De Medinaceli #claudiocoello #coello</t>
  </si>
  <si>
    <t>https://pbs.twimg.com/media/EssBLQHXYAEroWa.jpg</t>
  </si>
  <si>
    <t>Arte realizado por Hispánicos (perteneciente o relativo a España y a los países y culturas de habla española).</t>
  </si>
  <si>
    <t>La Tercera</t>
  </si>
  <si>
    <t>📈 @pulso_tw | Rodrigo Cerda fija prioridades: reactivación, empleo y pensiones. Nuevo ministro de Hacienda dijo que espera llegar “prontamente” a un acuerdo en materia previsional</t>
  </si>
  <si>
    <t>http://bit.ly/36bWsn6</t>
  </si>
  <si>
    <t>https://pbs.twimg.com/media/EsqYRuBXMKAF5rc.jpg</t>
  </si>
  <si>
    <t>✅</t>
  </si>
  <si>
    <t>Santiago, Chile</t>
  </si>
  <si>
    <t>Más que un diario.</t>
  </si>
  <si>
    <t>http://www.latercera.com</t>
  </si>
  <si>
    <t>La chumino🏳‍🌈🌱</t>
  </si>
  <si>
    <t>Modo stalker. Me voy a enterar de todo y te voy a matar cerda hija de puta.</t>
  </si>
  <si>
    <t>cuando las mazmorras se abren los dragones salen de caza.</t>
  </si>
  <si>
    <t>Shai Hulud</t>
  </si>
  <si>
    <t>#sonarglobal a mí me hizo clases de economía Cerda, es el hermano chico de Briones y discípulo de Larraín, monetarista duro, mucha teoría.</t>
  </si>
  <si>
    <t>Santiago of Chile</t>
  </si>
  <si>
    <t>The spice must flow</t>
  </si>
  <si>
    <t>laura 🕊</t>
  </si>
  <si>
    <t>q puta cerda RT @Pelloque: De profesión, psicópata</t>
  </si>
  <si>
    <t>https://twitter.com/pelloque/status/1354048544618000386</t>
  </si>
  <si>
    <t>https://pbs.twimg.com/media/EsqL-OpW4AABJn3.jpg</t>
  </si>
  <si>
    <t>🧘🏻‍♀️✨🐚🍉🌒🌞</t>
  </si>
  <si>
    <t>http://instagram.com/laurapxc</t>
  </si>
  <si>
    <t>Río Negro Deporte</t>
  </si>
  <si>
    <t>👉Los rionegrinos Rodrigo Jara y Juan Paniccia en judo y Tamara Colilaf, Yuliana Ruíz Díaz y Natán Cerda en taekwondo concentran en el CENARD con los seleccionados nacionales de cara a la clasificación a los Juegos Panamericanos juveniles de este año en Cali, Colombia💪</t>
  </si>
  <si>
    <t>https://pbs.twimg.com/media/EssACF0XUAIzoJ_.jpg</t>
  </si>
  <si>
    <t>Río Negro, Argentina</t>
  </si>
  <si>
    <t>Twitter oficial de la Secretaría de Deporte de Río Negro 📲•Facebook: Río Negro Deporte 📲•Instagram: @rionegrodeporte 📩•rionegrodeporte@gmail.com</t>
  </si>
  <si>
    <t>http://rionegro.gov.ar/?temaTagID=31</t>
  </si>
  <si>
    <t>DGuerao</t>
  </si>
  <si>
    <t>necesito estar de fiesta para volver a sentir lo que es ser una fucking cerda😍</t>
  </si>
  <si>
    <t>🐍 ugr</t>
  </si>
  <si>
    <t>https://instagram.com/dguerao?igshid=teunghg0rdtb</t>
  </si>
  <si>
    <t>❤️💛💜doy asco🏳️‍🌈</t>
  </si>
  <si>
    <t>Cerda puta zorra 😘🥰🤗❤️</t>
  </si>
  <si>
    <t>En algún lugar de alicante</t>
  </si>
  <si>
    <t>no me drogo</t>
  </si>
  <si>
    <t>gabriel cerda</t>
  </si>
  <si>
    <t>Lo que quiere es morir como mártir de la anticorrupción. RT @lopezdoriga: Les puedo informar que el presidente @lopezobrador_ no fue a Nutrición. Permanece en su casa de Palacio.</t>
  </si>
  <si>
    <t>https://twitter.com/lopezdoriga/status/1354096346743992320</t>
  </si>
  <si>
    <t>Soy de Chihuahua.creci en el D.F. trabaje en SRE. y en CFE estudie en UPIICSA http://IPN.ING IND. seguidor de la http://verdad.soy Rockanrrolero.</t>
  </si>
  <si>
    <t>eli</t>
  </si>
  <si>
    <t>espero que la misión legendaria de xiao sea para llorar como una cerda</t>
  </si>
  <si>
    <t>s ♡</t>
  </si>
  <si>
    <t>˗ˏˋ 21 ✧ infj 🍒 i am very small and i have no money so you can imagine the kind of stress i am under. pfp: @noranb_ matching: @wikiatsumu</t>
  </si>
  <si>
    <t>https://anilist.co/user/shivkamaru/</t>
  </si>
  <si>
    <t>Tele13 Radio</t>
  </si>
  <si>
    <t>[EN VIVO]📰#ConexiónT13 | Tras días de especulaciones, Ignacio Briones dejó su cargo en el Ministerio de Hacienda y asumió el economista y ex director de Presupuestos, Rodrigo Cerda. ▶️</t>
  </si>
  <si>
    <t>http://tele13radio.cl/envivo</t>
  </si>
  <si>
    <t>https://pbs.twimg.com/media/Esr-HAkWMAEdyZI.jpg</t>
  </si>
  <si>
    <t>Chile</t>
  </si>
  <si>
    <t>#EsHoraDeEscucharnos. Facebook: Tele13Radio. 📷http://Instagram.com/Tele13_radio 🎥 Youtube: http://bit.ly/2KEtQrv</t>
  </si>
  <si>
    <t>http://www.tele13radio.cl/</t>
  </si>
  <si>
    <t>Sigan mamando del pasado, el presente está de la verga, y no hay futuro. RT @jairocalixto: Cómo es que castigan así al ex Virrey de Michoacán, que casi ni era truculento???</t>
  </si>
  <si>
    <t>https://twitter.com/jairocalixto/status/1354142596088655872
https://twitter.com/juanbaaq/status/1354133240030916610</t>
  </si>
  <si>
    <t>paula 5'05en mates</t>
  </si>
  <si>
    <t>dar de baja una tarjeta cerda</t>
  </si>
  <si>
    <t>pa' darte problemas mejor te doy un beso 🏳️‍🌈</t>
  </si>
  <si>
    <t>Mentira mentira. Todo es una asquerosa mentira RT @ahope71: ¿No se suponía que habían apartado vacunas para 116 millones de personas? Si eso es cierto, ¿para qué quieren 24 millones de dosis de la Sputnik V, una vacuna no autorizada para uso de emergencia en México hasta el día de hoy?</t>
  </si>
  <si>
    <t>https://twitter.com/ahope71/status/1354124955957538816
https://www.eluniversal.com.mx/nacion/se-preven-vacunas-para-116-millones-sre</t>
  </si>
  <si>
    <t>.</t>
  </si>
  <si>
    <t>Cuando no tengo pacientes sólo me dan ganas de comer como una cerda 😫</t>
  </si>
  <si>
    <t>Medellín, Colombia</t>
  </si>
  <si>
    <t>http://instagram.com/odontodpe</t>
  </si>
  <si>
    <t>lalumago¹³</t>
  </si>
  <si>
    <t>Mirad esto es que me la como me ha llamado para decirme PUTA CERDA PONTE A ESTUDIAR LA ADORO</t>
  </si>
  <si>
    <t>https://pbs.twimg.com/media/Esr8xRBXIAU12Gj.jpg</t>
  </si>
  <si>
    <t>Talavera de la Reina, Spain</t>
  </si>
  <si>
    <t>siempre saludo así: ✌🏻🤪✌🏻</t>
  </si>
  <si>
    <t>gemita</t>
  </si>
  <si>
    <t>Comeme el coño fea — m cago entus muertos bastarda asquerosa yo ati no t como nada k vomito cerda duchate y deja d ser una warra</t>
  </si>
  <si>
    <t>https://curiouscat.qa/GemitaCarpetera/post/1178148772</t>
  </si>
  <si>
    <t>siempre reinare 👑 de cepeda y carlos richi ❤️ aiteda julrich anahug y evik 😍 💬🍿🍋 amo a mis gemilovers 🤩 lesbiana en proceso 👩‍❤️‍👩 intento d rapera🍐</t>
  </si>
  <si>
    <t>JECG</t>
  </si>
  <si>
    <t>sale un PAYASO y llega otro sin entender nada</t>
  </si>
  <si>
    <t>https://www.elmostrador.cl/mercados/2021/01/26/nuevo-ministro-de-hacienda-rodrigo-cerda-ante-un-eventual-tercer-retiro-del-10-la-prioridad-es-la-reforma-de-las-pensiones/</t>
  </si>
  <si>
    <t>Libre pensador. Para poder cambiar el mundo, el primero que tiene que cambiar soy yo. NO CREO EN PLANDEMIAS Nadie que odie puede decir que esta por la paz</t>
  </si>
  <si>
    <t>Presidente Electo Asintomático (gab🐸 @m4d3r0)</t>
  </si>
  <si>
    <t>Ooooh sii ha corregido a la cerda del Ojete-ivo y Newtrola OOOOh 💦💦💦 RT @adelgado: Sumo otra afirmación falsa. No, no ha habido 400 muertos cada día de esta semana como han comentado en el programa.</t>
  </si>
  <si>
    <t>https://twitter.com/adelgado/status/1353469116435230720
https://twitter.com/ObjetivoLaSexta/status/1353437242912616450</t>
  </si>
  <si>
    <t>Terraplanista y bebedor de lejía compulsivo. 🤪 Facha neoliberal. 🐍 Devorador de lechuga. 🥗 Peligro para la democracia. 💣</t>
  </si>
  <si>
    <t>Carlos Valenzuela Escare</t>
  </si>
  <si>
    <t>Hoy partió el #desvío de tránsito, y por toda la semana, en Avenida Pedro Aguirre Cerda en #SanPedrodelaPaz, señala el Serviu.</t>
  </si>
  <si>
    <t>https://pbs.twimg.com/media/Esr7XaYXEAICPA6.jpg</t>
  </si>
  <si>
    <t>Tomé</t>
  </si>
  <si>
    <t>Periodista, locutor, maestro ceremonias, cajero, busólogo, ciclista y cardiópata. Trabajo: @laamistaddetome y @Mayorista10. Pasión: @viajesxchile y @microstome.</t>
  </si>
  <si>
    <t>http://www.facebook.com/carlosvalenzuelaescare</t>
  </si>
  <si>
    <t>🎙️#LosColumnistas | Nuevo ministro de Hacienda @jorgenavarretep: “Rodrigo Cerda es un funcionario que no solo conoce el Ministerio de Hacienda, sino que es muy funcional a las instrucciones que querrá dar el Presidente”. #EsHoraDeEscucharnos ▶️</t>
  </si>
  <si>
    <t>http://bit.ly/2Nu0h0u</t>
  </si>
  <si>
    <t>https://pbs.twimg.com/media/EsqHmNSWMAE6u_P.png</t>
  </si>
  <si>
    <t>💀</t>
  </si>
  <si>
    <t>Me vivo quejando y llorando de que estoy gorda ... AH, PERO NO DEJO DE COMER COMO CERDA</t>
  </si>
  <si>
    <t>Entre Ríos, Argentina</t>
  </si>
  <si>
    <t>01/09💎 - Virginiana♍ - A mirar para adelante que para atrás ya dolió bastante.👌</t>
  </si>
  <si>
    <t>Frxn</t>
  </si>
  <si>
    <t>Mucho quejarse la cerda esta de mi pero bien que me pide q le habrá el queso</t>
  </si>
  <si>
    <t>Sevilla</t>
  </si>
  <si>
    <t>soy víctima de mi propio fracaso.</t>
  </si>
  <si>
    <t>https://www.instagram.com/francs21/</t>
  </si>
  <si>
    <t>silvia ☽ odd eye</t>
  </si>
  <si>
    <t>Te comeré cerda</t>
  </si>
  <si>
    <t>pic.twitter.com/Af3m0ZlTAv</t>
  </si>
  <si>
    <t xml:space="preserve"> monsta x | ʕ•ᴥ•ʔ</t>
  </si>
  <si>
    <t>JIN ☽ | ⇉ she!her</t>
  </si>
  <si>
    <t>https://29062019.carrd.co/</t>
  </si>
  <si>
    <t>Facultad Derecho UC</t>
  </si>
  <si>
    <t>📣 #DerechoUCenlosMedios | Profesor Rodrigo Cerda fue nombrado Ministro de Hacienda  @rcerdan @ucatolica @DFinanciero @latercera @ElMercurio_cl @Pauta_cl @CNNChile @elmostrador @lacuarta</t>
  </si>
  <si>
    <t>https://bit.ly/39kQpyP</t>
  </si>
  <si>
    <t>https://pbs.twimg.com/media/Esr55OpXMAAUj34.jpg</t>
  </si>
  <si>
    <t>Facultad de Derecho de la Pontificia Universidad Católica de Chile.</t>
  </si>
  <si>
    <t>http://www.derecho.uc.cl/</t>
  </si>
  <si>
    <t>soy tu chope ✨</t>
  </si>
  <si>
    <t>cerda</t>
  </si>
  <si>
    <t>Benidorm, España</t>
  </si>
  <si>
    <t>🖤</t>
  </si>
  <si>
    <t>Pablo Echenique</t>
  </si>
  <si>
    <t>Colonos. Viven en guetos. Bestias. Insecticida a los ñordos. Volved a Andalucía. CIE para españoles. Puta histérica española. Limpieza de españoles. Cerda. Desgraciada. Puntos de acuerdo con Trump. America First para Catalunya. Racismo y odio sin complejos en las listas de JxCat</t>
  </si>
  <si>
    <t>pic.twitter.com/P5cuBmIZW4</t>
  </si>
  <si>
    <t>Científico del @CSIC. Secr. de Programa de @PODEMOS. Portavoz del grupo parlamentario de Unidas Podemos-ECP-GeC. ¡Sí se puede! 💪 Telegram: http://t.me/PabloEchenique</t>
  </si>
  <si>
    <t>https://www.facebook.com/pablo.echenique/</t>
  </si>
  <si>
    <t>🎙️Efectos de la pandemia en el turismo, el vuelco en el Caso Frei y la renuncia de Ignacio Briones al Ministerio de Hacienda: son los temas que conversaron #LosColumnistas de #MesaCentral. Escucha la edición de este martes aquí:  #EsHoraDeEscucharnos</t>
  </si>
  <si>
    <t>https://pbs.twimg.com/media/Esqat2TXMAAjoDR.jpg</t>
  </si>
  <si>
    <t>Fuera Okupas de las casas</t>
  </si>
  <si>
    <t>Aprender hijos de la grandisima puta cerda madre!!!!! @sanchezcastejon @PabloIglesias @PODEMOS @PSOE @AdaColau #Leyantocupas</t>
  </si>
  <si>
    <t>https://pbs.twimg.com/media/Esr3T9TWMAA894w.jpg</t>
  </si>
  <si>
    <t>MI HOGAR, NO EL DEL OKUPA</t>
  </si>
  <si>
    <t>Cuenta creada para denunciar todas las atrocidades que sufren las victimas de la okupación ilegal ante la justicia española. No estais solos, juntos venceremos.</t>
  </si>
  <si>
    <t>https://www.facebook.com/fora.okupas.3</t>
  </si>
  <si>
    <t>Cristian Cerda</t>
  </si>
  <si>
    <t>Pésima posición para Darmian... Siendo zurdo lo ponen de volante por derecha, pintada la entrada de Hakimi. Si Conte lo quiere ganar debe sacar a Brozovic y meter a Lautaro. Ese es el equipo #CoppaItalia</t>
  </si>
  <si>
    <t>Constructor Civil 📈🔩 Hincha CC ⚪️⚫️ Amante de la velocidad 🏎💨 31 Km/h ♏️Papá de Colomba Ignacia 👶🏻</t>
  </si>
  <si>
    <t>http://instagram.com/cristian.andr3s</t>
  </si>
  <si>
    <t>⛄</t>
  </si>
  <si>
    <t>cerda manipuladora guarra desgraciada sinvergüenza RT @santiagomaje: De algunos lo entiendo pero de otros que cayesen en esto???? Os considereba más inteligentes</t>
  </si>
  <si>
    <t>https://twitter.com/santiagomaje/status/1354164519329787904</t>
  </si>
  <si>
    <t>https://pbs.twimg.com/media/Esr1dCsWMAAS20U.jpg</t>
  </si>
  <si>
    <t>🕊</t>
  </si>
  <si>
    <t>it's taylor swift's world and we're just living in it</t>
  </si>
  <si>
    <t>Lu con mucho frio y calor</t>
  </si>
  <si>
    <t>CERDA VETE A ESTUDIAR QUE MAÑANA TIENES RECUPERACIÓN Y NO TE SABES NADA</t>
  </si>
  <si>
    <t>Quien le diría a Peter Pan que hay sirenas que son intolerantes a la lactosa.🧚🏼‍♀️🌈</t>
  </si>
  <si>
    <t>gil</t>
  </si>
  <si>
    <t>Perras ganas de una pizza bien cerda</t>
  </si>
  <si>
    <t>spinerau</t>
  </si>
  <si>
    <t>la cerda tiene sus cerditos bien alimentados  RT @spinerau: esto està pasando...!!</t>
  </si>
  <si>
    <t>https://twitter.com/spinerau/status/1354162371615481859</t>
  </si>
  <si>
    <t>https://pbs.twimg.com/media/Esrz3hVXEAYdtkk.png
https://pbs.twimg.com/media/Esryhl3XYAA4CTF.jpg</t>
  </si>
  <si>
    <t>#VivaMexico, Jesucristo líbranos de la #InternationalJewry, los #Rothschilds y el #BankingTalmudicCartel #LíbranosdelMaligno ((()))</t>
  </si>
  <si>
    <t>laura✿</t>
  </si>
  <si>
    <t>eider tapando mi nombre porque seguro me tiene como puta cerda te odio ojalá te atropelle un camión RT @94C0URAGE: laura diciéndome // yo emocionada que le gusta ruel</t>
  </si>
  <si>
    <t>https://twitter.com/94C0URAGE/status/1354088382633283585</t>
  </si>
  <si>
    <t>https://pbs.twimg.com/media/EsqwNEHXYAIA0by.jpg</t>
  </si>
  <si>
    <t>river road</t>
  </si>
  <si>
    <t>𝒔𝒐𝒎𝒆𝒕𝒊𝒎𝒆𝒔 𝒑𝒆𝒐𝒑𝒍𝒆 𝒔𝒖𝒄𝒌||@perfctsunflower♡ᵐᵃʳᵗᵃ/ˢᵃᵐ</t>
  </si>
  <si>
    <t>Simplemente Zlatan... Un melon te lo transforma en gol 🤷🏻‍♂️ #CopaItalia</t>
  </si>
  <si>
    <t>M_Lina ⚡</t>
  </si>
  <si>
    <t>Dar d baja una matrícula, cerda</t>
  </si>
  <si>
    <t xml:space="preserve">(S)pain, Linares </t>
  </si>
  <si>
    <t>Esto es una performance // ugr hate account TPWK (she/her)</t>
  </si>
  <si>
    <t>RS IMPORTACIONES ZONA FRANCA</t>
  </si>
  <si>
    <t>HAY WNES Q VAN A HARVARD y post grados en EUROPA PARÁ SER GOMAS DE UN PRESIDENTE (BRIONES) Y OTROS COMO RODRIGO Cerda Q HIZO UN MAGISTER EN SER PERKIN, TIENE MENOS PESO Q UN PQTE CABRITAS, ESTE WN ES MENSAJERO, LE HARÁ QUEQUES Q PIÑERA... ESTE WN LE LAVARA HASTA LOS CALZONES JAJA</t>
  </si>
  <si>
    <t>CONTACTANOS EN OFICINA SANTIAGO Y TAMBIEN EN REGIONES SIGUENOS EN INSTAGRAM/FACEBOOK WSP +56 9 58432647 IMPORTACION DIRECTA A CHILE VEHICULOS ACCESORIOS</t>
  </si>
  <si>
    <t>jojo ## koo actualizó !!</t>
  </si>
  <si>
    <t>desprestigio la gorda esa, nosotros los fitness no deberíamos hablar con ana cerda que te llena de manteca 🙄🙄</t>
  </si>
  <si>
    <t>Open your eyes 沈む影
どんな今でも これが現</t>
  </si>
  <si>
    <t>ㅤㅤㅤㅤㅤㅤㅤㅤ 𖠗 ꭑ𝘆 𝗹𖦹̲𝘃e ⩇⩇ @iYUTAEMO 𔘓 !! ㅤㅤㅤㅤㅤㅤㅤㅤㅤ ㅤㅤㅤㅤㅤㅤㅤㅤㅤ</t>
  </si>
  <si>
    <t>V a l ⚜️</t>
  </si>
  <si>
    <t>Recordando esa vez donde dos activistas famosillas se empezaron a pelear en mitad de Twitter y una de ellas empezó a decirle a la otra que era una cerda y que había engañado a su marido con un guardia civil 😭</t>
  </si>
  <si>
    <t>Alacant, País Valencià</t>
  </si>
  <si>
    <t>Pertenezco a la subclase del maricón místico, aunque ocasionalmente asumo funciones de complemento predicativo. Somniem fins abolir la matèria. ☭</t>
  </si>
  <si>
    <t>craqdiofficial</t>
  </si>
  <si>
    <t>Soy una Cerda Guarra con gustillos Sí Xpor?!</t>
  </si>
  <si>
    <t xml:space="preserve"> http://onfans.com/alexxxporn1</t>
  </si>
  <si>
    <t>Cantautora hago música pro-LGBTIAQ+ 🌈🏳️‍🌈🏳️‍🌈🏳️‍🌈🌈🌈 yo abogo por un mundo feliz ♥️💞 Estoy aquí arriba sí me googleas te salgo♋️♋️ Soy el Cáncer del Z</t>
  </si>
  <si>
    <t>https://m.youtube.com/watch?v=LmNdyTkuT9Y&amp;list=OLAK5uy_mWDy1kNDxPJkUaZ33GQcf3Mvzxny5XuJc&amp;index=5</t>
  </si>
  <si>
    <t>ana🧚🏻‍♀️</t>
  </si>
  <si>
    <t>una cerda todo mal, next RT @folkashe: — queen luna</t>
  </si>
  <si>
    <t>https://twitter.com/folkashe/status/1354106076371824644</t>
  </si>
  <si>
    <t>https://pbs.twimg.com/media/EsrAS_GXMAEFv6E.jpg</t>
  </si>
  <si>
    <t>➳ fate: the winx saga 2021 &amp; winx club 2004 ‍ ‍ ➳ bloom &amp; abbey stan</t>
  </si>
  <si>
    <t>eñzi</t>
  </si>
  <si>
    <t>como cerda echada bajo el aire esperando que algún director de cine me de el papel protagónico para su próxima película</t>
  </si>
  <si>
    <t>silvia süller me sigue en twitter</t>
  </si>
  <si>
    <t>Radio Portales (🎙️🎧 desde 🏡)</t>
  </si>
  <si>
    <t>Las opiniones en la Oposición, a través de los lideres partidarios Fuad Chahín (DC) y Catalina Pérez (RD) mas el senador PS Carlos Montes comentaron el cambio del ministro de Hacienda realizado hoy martes, donde Ignacio Briones fue reemplazado por Rodrigo Cerda</t>
  </si>
  <si>
    <t>pic.twitter.com/4aXnTkVWmZ</t>
  </si>
  <si>
    <t>#LaPrimeraDeChile🎙️🎧 Perfil oficial de @RadioPortales - 1180 AM 📻 - Portales Digital📱 - Portales Digital TV 📺</t>
  </si>
  <si>
    <t>http://www.radioportales.cl</t>
  </si>
  <si>
    <t>DiarioEstrategia.cl</t>
  </si>
  <si>
    <t>Nuevo ministro de Hacienda: salió Ignacio Briones y asumió Rodrigo Cerda, ex director de Codelco  #Chile</t>
  </si>
  <si>
    <t>http://www.diarioestrategia.cl/texto-diario/mostrar/2275398/nuevo-ministro-hacienda-salio-ignacio-briones-asumio-rodrigo-cerda-ex-director-codelco</t>
  </si>
  <si>
    <t>Santiago - Chile</t>
  </si>
  <si>
    <t>El Diario de Negocios Independiente de Chile. Síguenos en Instagram http://instagram.com/diarioestrateg…</t>
  </si>
  <si>
    <t>http://www.diarioestrategia.cl</t>
  </si>
  <si>
    <t>Beatrix II</t>
  </si>
  <si>
    <t>Y la cerda de Sonia va a reventar cuando metamos a Rosalinda en la final. RT @zormello: MAAAAAMMA COME LA MANDIAMO IN FINALE ROSALINDA NON VEDO L’ORA #rosmello #tzvip</t>
  </si>
  <si>
    <t>https://twitter.com/zormello/status/1354151168675614726</t>
  </si>
  <si>
    <t>pic.twitter.com/LUaDHVH7aU</t>
  </si>
  <si>
    <t>Buscate vos el café flaca</t>
  </si>
  <si>
    <t>Raqui</t>
  </si>
  <si>
    <t>Que dice la cerda? #Rosmello RT @zormello: MAAAAAMMA COME LA MANDIAMO IN FINALE ROSALINDA NON VEDO L’ORA #rosmello #tzvip</t>
  </si>
  <si>
    <t>Aquí hemos venido a dramar y a que no nos salgan las carpetas. Ceputa, Rechista radikal y Amadeista 💙</t>
  </si>
  <si>
    <t>Moda weona del @Inter y @ManUtd de arropar a los centrales a la altura del arquero en cada saque de fondo. Se regalan, el @ManUtd regalo un gol contra @LFC por esta tontera en la #FACup El @acmilan cerca de aprovechar lo suyo también. #CopaItalia</t>
  </si>
  <si>
    <t>ana</t>
  </si>
  <si>
    <t>ya estoy deseando de ver la cara de la cerda esta cuando rosalinda sea finalista RT @zormello: MAAAAAMMA COME LA MANDIAMO IN FINALE ROSALINDA NON VEDO L’ORA #rosmello #tzvip</t>
  </si>
  <si>
    <t>💜</t>
  </si>
  <si>
    <t>𝗮𝗱𝗲𝗹𝗮, viendo sçk🏹</t>
  </si>
  <si>
    <t>he hecho ejercicio pero sigo cabreada x la cerdA de selin</t>
  </si>
  <si>
    <t>#𝗦𝗘𝗥𝗞𝗔𝗡𝗕𝗢𝗟𝗔𝗧 🤲🏼✨</t>
  </si>
  <si>
    <t>https://open.spotify.com/album/3rxj1eHjamXQyJHLVPOpHm?si=VYUWjHLpQkelpPGjJjRtZA</t>
  </si>
  <si>
    <t>🎙️#LosColumnistas | Nuevo ministro de Hacienda @fjcovarru: “Rodrigo Cerda ha hecho su trabajo al amparo de Felipe Larraín y de cierta forma, Briones marcó un contraste a lo que había sido Larraín y los economistas más Chicago”. #EsHoraDeEscucharnos ▶️</t>
  </si>
  <si>
    <t>https://pbs.twimg.com/media/EsqHEvTXAAIUVwm.jpg</t>
  </si>
  <si>
    <t>Patita APRUEBA</t>
  </si>
  <si>
    <t>Si claro, toy que te creo, ustedes son todos la misma m134da😠 😠Rodrigo Cerda y su primer día como ministro de Hacienda: “Vuelvo a mi casa…Puedo prometer mucho trabajo” -  vía @thecliniccl</t>
  </si>
  <si>
    <t>https://www.theclinic.cl/2021/01/26/rodrigo-cerda-y-su-primer-dia-como-ministro-de-hacienda-vuelvo-a-mi-casa-puedo-prometer-mucho-trabajo/</t>
  </si>
  <si>
    <t>$HILE SE VENDE</t>
  </si>
  <si>
    <t>Careraja en sentido Griego, camino x donde quiero,ni ahí con iglesias, menos con fachos.Voy de frente y digo lo q quiero. NO A POLÍTICOS CORRUPTOS</t>
  </si>
  <si>
    <t>lucia</t>
  </si>
  <si>
    <t>eee como esta puta cerda no sea mi novia yamismo..</t>
  </si>
  <si>
    <t>pic.twitter.com/mccxrpOTHo</t>
  </si>
  <si>
    <t>cuidadin</t>
  </si>
  <si>
    <t>Los diputados de "Chile Vamos" Sebastián Torrealba (RN) y Guillermo Ramírez (UDI) comentaron el cambio del ministro de Hacienda realizado durante esta jornada de martes, donde Ignacio Briones fue reemplazado por Rodrigo Cerda, en el mando de esta cartera</t>
  </si>
  <si>
    <t>pic.twitter.com/DkDlZjL7NN</t>
  </si>
  <si>
    <t>b</t>
  </si>
  <si>
    <t>será cerda esta, que la vamos a llevar a la final para que tú y todos los lerdos se enteren lo que es tener buen gusto! RT @zormello: MAAAAAMMA COME LA MANDIAMO IN FINALE ROSALINDA NON VEDO L’ORA #rosmello #tzvip</t>
  </si>
  <si>
    <t>📌 the pinks</t>
  </si>
  <si>
    <t>fan account</t>
  </si>
  <si>
    <t>Melocotonero</t>
  </si>
  <si>
    <t>Y yo mientras tanto engordando como una cerda por culpa de los exámenes Fuck yeah what a life RT @aljoba12: Me están saliendo músculos que no sabían que existían 😗</t>
  </si>
  <si>
    <t>https://twitter.com/aljoba12/status/1354148625127976960</t>
  </si>
  <si>
    <t>She/Her</t>
  </si>
  <si>
    <t>Big ♋︎ Energy • Ace in Space • No TERFs allowed #WARNING: Language switches w/o context ✧ Soulmate: @minimoniggu ✧</t>
  </si>
  <si>
    <t>Muero de...asco</t>
  </si>
  <si>
    <t>puta cerda de mierda RT @zormello: MAAAAAMMA COME LA MANDIAMO IN FINALE ROSALINDA NON VEDO L’ORA #rosmello #tzvip</t>
  </si>
  <si>
    <t>españa</t>
  </si>
  <si>
    <t>Pues eso... no agrado a todos, pero es lo que hay,nunca dije q quería agradar. http://instagram.com/portuga_12/</t>
  </si>
  <si>
    <t>Arturo Guadalupe Cerda Montalvo</t>
  </si>
  <si>
    <t>Quiero cojer quien por la av. Salk</t>
  </si>
  <si>
    <t>San Luis Potosí</t>
  </si>
  <si>
    <t>a Weirdo ☁️</t>
  </si>
  <si>
    <t>CERDA 🗣🗣🗣 ya te quiero ver la cara cuando salga finalista RT @zormello: MAAAAAMMA COME LA MANDIAMO IN FINALE ROSALINDA NON VEDO L’ORA #rosmello #tzvip</t>
  </si>
  <si>
    <t>Madrid, Spain</t>
  </si>
  <si>
    <t>“If Britney can make it through 2007, then I can make it through today.”</t>
  </si>
  <si>
    <t>valentina</t>
  </si>
  <si>
    <t>CERDA RT @zormello: MAAAAAMMA COME LA MANDIAMO IN FINALE ROSALINDA NON VEDO L’ORA #rosmello #tzvip</t>
  </si>
  <si>
    <t>diego_cerda_02</t>
  </si>
  <si>
    <t>Che lagarto estupido RT @bruhmforever: @UtadaHikaruVEVO</t>
  </si>
  <si>
    <t>https://twitter.com/bruhmforever/status/1354039563191283713</t>
  </si>
  <si>
    <t>pic.twitter.com/K4yf63gLHc</t>
  </si>
  <si>
    <t>Get the fuck out of my car this ain’t a taxi</t>
  </si>
  <si>
    <t>aIaitz</t>
  </si>
  <si>
    <t>q te den cerda RT @cassieclare: Friendly Reminder: Matthew still hasn’t told anyone his dark secret.</t>
  </si>
  <si>
    <t>https://twitter.com/cassieclare/status/1354137932500766731</t>
  </si>
  <si>
    <t>badlands</t>
  </si>
  <si>
    <t>it's buzzcut season anyway</t>
  </si>
  <si>
    <t>soy del 80%</t>
  </si>
  <si>
    <t>Rodrigo Cerda | Conoce quién es el nuevo Ministro de Hacienda que reemplaza a Ignacio Briones | RedGol</t>
  </si>
  <si>
    <t>https://redgol.cl/tendencias/Rodrigo-Cerda--Conoce-quien-es-el-nuevo-Ministro-de-Hacienda-que-reemplaza-a-Ignacio-Briones-20210126-0052.html</t>
  </si>
  <si>
    <t>mi nombre es Gabriel , contador auditor</t>
  </si>
  <si>
    <t>Granota McGregor K.O. 🥊</t>
  </si>
  <si>
    <t>Es poco cerda Alcaraz. Pero no de hoy, de ya hace tiempo.</t>
  </si>
  <si>
    <t>Valencia, España</t>
  </si>
  <si>
    <t>Granota🐸 desde que mi padre me llevo al Ciutat El gol⚽ de Reggi lo vi en una TV📺 de 14 pulgadas @miguelramos90 me tiene bloqueado.</t>
  </si>
  <si>
    <t>edward lanthry</t>
  </si>
  <si>
    <t>Agustonta en #TeDoyLaVida si que es Queen cuando se negreó al Emilio 🤮 Señor Rojo por ser un patético que quiere retener a la esposa aún sabiendo que ama a otro ahora #VerdadesOcultas</t>
  </si>
  <si>
    <t>TonTomás 🤦‍♂️ de más que le gritará por enésima vez a Rocío "esto no te lo voy a perdonar nunca" porque mandó a Jazmín/Alejandra a vigilar la casa #VerdadesOcultas a ella la cuestiona lo que a Violenta Parra le celebró de hacer espionaje</t>
  </si>
  <si>
    <t>Sexotube PORNO XXX</t>
  </si>
  <si>
    <t>ARTESANIA CERDA Pijama Corto Single Jersey Snoopy Conjuntos, Azul (A</t>
  </si>
  <si>
    <t>https://www.ofertagratis.com/artesania-cerda-pijama-corto-single-jersey-snoopy-conjuntos-azul-a-5/</t>
  </si>
  <si>
    <t>#Videos #porno y #sexo #casero a #diario con sus #webcamers siempre #calientes. #pornotube #gratis. RT Gracias.</t>
  </si>
  <si>
    <t>http://www.sexotube.eu</t>
  </si>
  <si>
    <t>noticieroporno</t>
  </si>
  <si>
    <t>Las mejores noticias porno se publican a diario, videos caseros y cibersexo real.</t>
  </si>
  <si>
    <t>http://www.pornogratis.name</t>
  </si>
  <si>
    <t>Chollos Diario - Las mejores Ofertas</t>
  </si>
  <si>
    <t>ARTESANIA CERDA Pijama Corto Single Jersey Snoopy Conjuntos, Azul (Azul C37), One Size (Tamaño del Fabricante:18M) para Bebés</t>
  </si>
  <si>
    <t>https://www.chollosdiario.com/producto/artesania-cerda-pijama-corto-single-jersey-snoopy-conjuntos-azul-a-2/</t>
  </si>
  <si>
    <t>Los mejores ⭐️Chollos de la red los tienes aquí a diario. Esta cuenta participa en el programa de Afiliados de Amazon España, comisiones por compras Adscritas.</t>
  </si>
  <si>
    <t>https://www.chollosdiario.com</t>
  </si>
  <si>
    <t>The Clinic</t>
  </si>
  <si>
    <t>Rodrigo Cerda y su primer día como ministro de Hacienda: "Vuelvo a mi casa...Puedo prometer mucho trabajo" 👀</t>
  </si>
  <si>
    <t>https://www.theclinic.cl/2021/01/26/rodrigo-cerda-y-su-primer-dia-como-ministro-de-hacienda-vuelvo-a-mi-casa-puedo-prometer-mucho-trabajo/
http://ow.ly/l82Q30rufj7</t>
  </si>
  <si>
    <t>The Clinic - #Reportajes #noticias #podcast #videos #humor las 24 horas en nuestro sitio web y quincenalmente en kioscos</t>
  </si>
  <si>
    <t>http://theclinic.cl/</t>
  </si>
  <si>
    <t>📈 @pulso_tw | Los grandes empresarios expresan optimismo por arribo de Rodrigo Cerda a Hacienda, pero también advierten el desafío de su tarea</t>
  </si>
  <si>
    <t>https://bit.ly/2Ydvp6L</t>
  </si>
  <si>
    <t>https://pbs.twimg.com/media/Esqu3WMXMAADFIS.jpg</t>
  </si>
  <si>
    <t>Primero Desgracia 🤮 y después el Detective Mauricio Luis Emilio con retención de líquidos mandando al frente a Rocío #VerdadesOcultas solo falta que pase el plot twist de Violenta Parra tratando de matarla y se armó la balacera en el pasaje</t>
  </si>
  <si>
    <t>RABIOSA REPUBLICANA🇨🇱</t>
  </si>
  <si>
    <t>⚡⚡I.Briones versus R.Cerda a quien sus compañeros definen como "comunacho" @sebastianpinera dándole el gusto a la izquierda? ¿El pasado los condena? Lo que dice el anuario escolar de los compañeros de colegio y generación, Ignacio Briones y Rodrigo Cerda</t>
  </si>
  <si>
    <t>http://a.msn.com/01/es-cl/BB1d70xU?ocid=st</t>
  </si>
  <si>
    <t>⚡⚡Si Ud. no me soporta, haga fila, tome asiento y espere a que me importe. Patriota, sureña, amo el campo a los animales y la libertad.. VIÑA #ChileUnidoAvanza</t>
  </si>
  <si>
    <t>FurkanAndicAsk_Fan🇪🇸</t>
  </si>
  <si>
    <t>Sinan advirtiendo a todos sobre Cerdá #VenganzaDivinity26E</t>
  </si>
  <si>
    <t>Cuenta apoyo @furkandic Actor turco protagonista de Her Yerde Sen , Çatı Katı Aşk, Meryem, Tatli Intikam entre otras</t>
  </si>
  <si>
    <t>http://beauty-around.com/en/turkish-actors/item/1704-furkan-andic</t>
  </si>
  <si>
    <t>Veritas Capitur</t>
  </si>
  <si>
    <t>El ministro Rodrigo Cerda ratificó la urgencia que tiene la iniciativa para el Gobierno</t>
  </si>
  <si>
    <t>https://wp.me/pbYIWq-3uH</t>
  </si>
  <si>
    <t>La Verdad se Conquista. Lo último siempre en #AlertaVeritas 👍 Búscanos en Facebook: http://bit.ly/37hQVNu 🎧 Escúchanos en Spotify: http://spoti.fi/3lUwD0q</t>
  </si>
  <si>
    <t>http://www.veritascapitur.cl</t>
  </si>
  <si>
    <t>ak</t>
  </si>
  <si>
    <t>Quiero una hamburguesa bien Cerda así con mucho tocino y queso 🤤</t>
  </si>
  <si>
    <t>https://instagram.com/annaob29?igshid=1n2n672m8457j</t>
  </si>
  <si>
    <t>𝙻𝚞𝚌𝚛𝚎𝚌𝚒𝚊💭🖇</t>
  </si>
  <si>
    <t>Me meoooo con al comparación Dilo tata “Cerda”&gt;&amp;gt;&amp;gt;&amp;gt;&amp;gt;&amp;gt;&amp;gt;&amp;gt;&amp;gt;&amp;gt;&amp;gt;&amp;gt; “entiendo tu punto” o “ojalá todo el mundo opinara así (de manera educada)” RT @wav_carmen: "de manera educada" memeo el glow up @cfevugo @TorreEiffelGirl</t>
  </si>
  <si>
    <t>https://twitter.com/wav_carmen/status/1354149775373971457</t>
  </si>
  <si>
    <t>https://pbs.twimg.com/media/Esrn7mAXIAEr-Eu.jpg</t>
  </si>
  <si>
    <t>On the Moon</t>
  </si>
  <si>
    <t>✨“𝑳𝒂 𝒂𝒖𝒕𝒐𝒆𝒔𝒕𝒊𝒎𝒂 𝒑𝒂 𝒂𝒓𝒓𝒊𝒃𝒂 𝒚 𝒆𝒍 𝒑𝒆𝒓𝒓𝒆𝒐 𝒑𝒂 𝒂𝒃𝒂𝒋𝒐”✨ 𝕓𝕠𝕠𝕜𝕗𝕒𝕟 | 𝕒𝕟𝕒𝕛𝕦𝕗𝕒𝕟 |</t>
  </si>
  <si>
    <t>Desgracia 🤮 le avisó a Diego Monito que asesinaron a Arepin Junior #VerdadesOcultas</t>
  </si>
  <si>
    <t>Rocío Bárbara Blade Holmes 🤦‍♀️ en cualquier momento Agustonta de nuevo le reventará la chapa de su casa arrendada y la pieza secreta, pensando que su hermana mató desde Alonso Chulejas y Volante o Maleta hasta Arepin Junior 😱 #VerdadesOcultas</t>
  </si>
  <si>
    <t>Chévere 😭 al ver la máscara de soldador acusó a Matías del Santo, corre Leonardo corre #VerdadesOcultas</t>
  </si>
  <si>
    <t>El mismo imbecil</t>
  </si>
  <si>
    <t>Soy la Cerda ARRIBA EL MONARCAS</t>
  </si>
  <si>
    <t>pic.twitter.com/xxcvetgOR6</t>
  </si>
  <si>
    <t>19y</t>
  </si>
  <si>
    <t>Agustonta al ver en la foto la máscara de soldador pensará que el enmascarado con Rocío tuvieron que ver con el asesinato de Arepin Junior #VerdadesOcultas</t>
  </si>
  <si>
    <t>a dragon puton</t>
  </si>
  <si>
    <t>Twitter cerda no me escondas tweets de las notificaciones</t>
  </si>
  <si>
    <t>he/him</t>
  </si>
  <si>
    <t>🔫go drink water right now. this is a watergun and i WILL shoot.</t>
  </si>
  <si>
    <t>https://forms.gle/Ks4jqFRKpQRfyg3Y9</t>
  </si>
  <si>
    <t>Violenta Parra pilló a Leonardo Pai Pai Highlander con casco hablando con Cristomasito 😱 #VerdadesOcultas lo bueno que antes de irse le tiró sus buenos palos a su hermanita ante el niño</t>
  </si>
  <si>
    <t>Por qué verga es martes? Me cagan los martes suenan como un día de la verga.</t>
  </si>
  <si>
    <t>agυѕтιna</t>
  </si>
  <si>
    <t>El verdadero quien pudiera😣 RT @CynthiaGamboa14: Te imaginas no rendir en Febrero?</t>
  </si>
  <si>
    <t>https://twitter.com/CynthiaGamboa14/status/1354101022759780353</t>
  </si>
  <si>
    <t>Catriel Rio Negro📍</t>
  </si>
  <si>
    <t>ғυтυre мoм ғroм aмadeo 👶// ES LEY HERMANAS✊💚</t>
  </si>
  <si>
    <t>Ya veo que por culpa de la estupidez de Agustonta de reventarle con el cerrajero la chapa de la casa que Rocío arrienda, Violenta Parra aproveche la oportunidad de tratar de matarla #VerdadesOcultas</t>
  </si>
  <si>
    <t>Nekro is now speaking in English</t>
  </si>
  <si>
    <t>Cerda. RT @DonAman391: Fire Emblem: The Binding Blade: Originally released on the Gameboy Advanced on March 29th, 2002 (also known as ファイアーエムブレム 封印の剣, Fire Emblem: The Sword of Seal)</t>
  </si>
  <si>
    <t>https://twitter.com/DonAman391/status/1353849060453621762</t>
  </si>
  <si>
    <t>https://pbs.twimg.com/media/EsnSe3wVEAAEZ33.png</t>
  </si>
  <si>
    <t>en casa de Frank uwu</t>
  </si>
  <si>
    <t>(He/Him) / (ESP/¿ENG?) / LG(B)T /un poco otako y mucho cringe / Normalmente match con mi novio el @Frank_Joestar💜 | PFP: @misaki_fujiyama</t>
  </si>
  <si>
    <t>Rocío Bárbara Blade Holmes 🤦‍♀️ desconfiando de Leonardo Pai Pai Highlander como el supuesto asesino de Arepin Junior #VerdadesOcultas</t>
  </si>
  <si>
    <t>Por fin Rocío le chantó la moto al cachito de Agustonta 🤦 que vive estorbando últimamente #VerdadesOcultas</t>
  </si>
  <si>
    <t>Keanu_Reeves</t>
  </si>
  <si>
    <t>Nadie te preguntó cerda.</t>
  </si>
  <si>
    <t>Honduras</t>
  </si>
  <si>
    <t>soy muy amable tranquilo me gusta leer en ocasiones puedo ser un cursi poeta.</t>
  </si>
  <si>
    <t>yamilita</t>
  </si>
  <si>
    <t>hoy se come como cerda porque ya me van a socar el hocico 🤙🏼😔</t>
  </si>
  <si>
    <t>El Salvador</t>
  </si>
  <si>
    <t>🫀 she/her</t>
  </si>
  <si>
    <t>https://vsco.co/softnathss</t>
  </si>
  <si>
    <t>maría sánchez</t>
  </si>
  <si>
    <t>amiwis que tengo un poco parada la web de almáciga porque no paro y no quiero convertirlo en algo que resulte fruto de inmediatez y ansiedad 🌿 pero que pronto volvemos a dar la lata 🤗 mientras, a recossirarnos</t>
  </si>
  <si>
    <t>https://xn--almciga-jwa.es/jordi-pere-cerda-y-la-palabra-recossirar-una-atencion-al-territorio-y-a-todos-los-que-habitan</t>
  </si>
  <si>
    <t>"Una de las cosas más terribles que le pueden suceder a un muerto – explica Qoisang – es que los buitres no se lo coman"</t>
  </si>
  <si>
    <t>http://www.maria-sanchez.es</t>
  </si>
  <si>
    <t>No me había dado cuenta de lo hermosa y calida que es la compañía de Anto, dios la tengo acá al lado mio y la miro y se me cae una lágrima de solo pensar en lo mucho que la voy a extrañar cuando se valla a estudiar en tan solo días. La amo una vida!😢💖</t>
  </si>
  <si>
    <t>ᵐᵃʳᵗᵃ(ง'̀-'́)ง</t>
  </si>
  <si>
    <t>Q cerda</t>
  </si>
  <si>
    <t>pic.twitter.com/sbCsDdAZBI</t>
  </si>
  <si>
    <t>A Coruña, Galicia</t>
  </si>
  <si>
    <t>mutuo, sano y duradero. Codm player🕹</t>
  </si>
  <si>
    <t>https://www.paypal.me/martalp</t>
  </si>
  <si>
    <t>rosario ♡'s xiao;</t>
  </si>
  <si>
    <t>estoy estudiando como una cerda quiero apoyo emocional odio sociales</t>
  </si>
  <si>
    <t>she/they • infp • 14</t>
  </si>
  <si>
    <t>#XIAO; i will be here when you call // ♡; @CChachau // priv; @j03simp</t>
  </si>
  <si>
    <t>Economía&amp;Empresa UDP</t>
  </si>
  <si>
    <t>Revive el seminario "Perspectivas económicas 2021 y desafíos post COVID-19", con Alejandro Micco de @fenuchile; Rodrigo Cerda de @derechouc; y Mauricio Villena, Decano de la Facultad de Economía y Empresa UDP. 📲 Accede al seminario acá:</t>
  </si>
  <si>
    <t>https://bit.ly/36fE8tw</t>
  </si>
  <si>
    <t>Av. Santa Clara 797 Huechuraba</t>
  </si>
  <si>
    <t>Cuenta oficial de la Facultad de Economía y Empresa U. Diego Portales. Publica con #FEEUDP y #UDP.</t>
  </si>
  <si>
    <t>http://economiayempresa.udp.cl/</t>
  </si>
  <si>
    <t>Agustina y TonTomás se enteraron que a Arepin Junior lo mataron en la ex casa que Violenta Parra vendió #VerdadesOcultas</t>
  </si>
  <si>
    <t>Twitter Query: Payasa lang:es -filter:retweets -filter:replies</t>
  </si>
  <si>
    <t>andreiya</t>
  </si>
  <si>
    <t>eiiiii os cuento q la cosa no acaba aqui q mñn toca ser winnie the pooh y dumbo xq no era suficiente cn ser simba nada mas y el d payasa pasado mñn d nuevo q es el d todos los dias q vivo disfraza ok 🥳🥳🤩 RT @andreagnzalezz: a dormir pensando q mñn me tngo q levantar a las 7 para solo y exclusivamente ir al colegio a ensayar un teatro del rey leon en el q encima soy simba el protagonista xq me toco x sorteo😃 bn 👍🏼</t>
  </si>
  <si>
    <t>https://twitter.com/andreagnzalezz/status/1353474821376659458</t>
  </si>
  <si>
    <t>mlg</t>
  </si>
  <si>
    <t>:)</t>
  </si>
  <si>
    <t>http://instagram.com/andreagonzalezz_</t>
  </si>
  <si>
    <t>loreᴮᴱ✨</t>
  </si>
  <si>
    <t>una payasa si soy RT @bangtanvibessss: 4. mi @jaageun pero es que me meo con todas os amo</t>
  </si>
  <si>
    <t>https://twitter.com/bangtanvibessss/status/1354175187089055750</t>
  </si>
  <si>
    <t xml:space="preserve">spain </t>
  </si>
  <si>
    <t>teamwork makes the dream work⁷ @bts_twt</t>
  </si>
  <si>
    <t>Nachoo</t>
  </si>
  <si>
    <t>Hoy hago 6 meses con esta payasa 🤠🥰🖤 (tengo a lot of suerte)</t>
  </si>
  <si>
    <t>pic.twitter.com/TF0PI2ZDfc</t>
  </si>
  <si>
    <t>Subo cosas xlc y ya.</t>
  </si>
  <si>
    <t>pau</t>
  </si>
  <si>
    <t>Soy tan payasa que cuando veo que mis amigxs ponen cosas feas en twitter pienso que son indirectas para mí 🤡</t>
  </si>
  <si>
    <t>osmosis</t>
  </si>
  <si>
    <t>http://instagram.com/pauuespinossa/</t>
  </si>
  <si>
    <t>D.J DIUJARLO 🇨🇴 ♈✌️</t>
  </si>
  <si>
    <t>Preguntisima 🤔! ¿Cuántas horas tiene un año? Es que es para explicarle a la alcaldesa que no perdió 3 horas en un año, más bien que perdió un año en 3 horas porque queda claro que va pa' fuera, así se vicrimize y ahora haga creer que es inconstitucional! Payasa vas pa' fuera</t>
  </si>
  <si>
    <t>hola! re_ Uribista! loco, bendecido por DIOS! y hablo sin tapujos bolqueo mamertos! gracias</t>
  </si>
  <si>
    <t>v👸🏽</t>
  </si>
  <si>
    <t>Acaba de parir y ya sube videos de plantas, que me sorprende si en todo el embarazo se la pasó fumando porro la payasa, despues se hacen las buenas madres</t>
  </si>
  <si>
    <t>ig: valeentoro efe</t>
  </si>
  <si>
    <t>𝙅𝙚𝙣𝙞𝙛𝙚𝙧.</t>
  </si>
  <si>
    <t>Me estás dejando como Payasa brooo</t>
  </si>
  <si>
    <t>🇵🇦//Me encantan los animales y amo leer. 🤍</t>
  </si>
  <si>
    <t>Lost electron 🏳️‍🌈</t>
  </si>
  <si>
    <t>Hay alguien más payasa que yo? No se pregunto</t>
  </si>
  <si>
    <t>HΨ=EΨ 🏳️‍🌈</t>
  </si>
  <si>
    <t>ᗪ乇丨爪ㄖ丂</t>
  </si>
  <si>
    <t>Trato siempre de escuchar cosas distintas para mínimo conocer un poco más allá de lo que ya escucho y mi """"artista"""" "nuevo" de hoy fue Yoko Ono. Cadena perpetua para ti, yoko. No hay que ser experto para darse cuenta que está señora es una payasa.</t>
  </si>
  <si>
    <t>Bri✨</t>
  </si>
  <si>
    <t>Que mina payasa! Después se queja q esta sola🤣🤡</t>
  </si>
  <si>
    <t>✨19✨❤ Instagram: Bri_ramirez1</t>
  </si>
  <si>
    <t>Monica</t>
  </si>
  <si>
    <t>Alexia, hagamos un grupo de wa con la payasa de Malena y quien quieras y así despotricamos bien</t>
  </si>
  <si>
    <t>Mamá, tu hija es una payasa. BBAA UCM | 🏉</t>
  </si>
  <si>
    <t>https://instagram.com/pizzahacendado?igshid=kzm3drf38k84</t>
  </si>
  <si>
    <t>pato🤪</t>
  </si>
  <si>
    <t>Erda hoy estoy bien payasa 🤣 siempre pero hoy más 🤣🤣🤣</t>
  </si>
  <si>
    <t>Barranquilla, Colombia</t>
  </si>
  <si>
    <t>@colordye_bq 👈🏼 🚀</t>
  </si>
  <si>
    <t>nat❄</t>
  </si>
  <si>
    <t>A veces me pregunto porque soy tan payasa, hago bromas que solo me hacen gracia a mi pero yo me lo paso pipa</t>
  </si>
  <si>
    <t>she/her・22</t>
  </si>
  <si>
    <t>𝑰𝒏 𝒕𝒉𝒆 𝒔𝒑𝒂𝒄𝒆</t>
  </si>
  <si>
    <t>Lucíɑ</t>
  </si>
  <si>
    <t>La verdad es que estoy cansada de ser una payasa me encantaría que el cerebro se pudiera quitar y poner ahora x ejemplo no me gustaría tenerlo puesto os pasa?</t>
  </si>
  <si>
    <t>idk</t>
  </si>
  <si>
    <t>lo hice x ti</t>
  </si>
  <si>
    <t>http://instagram.com/lusygeorge</t>
  </si>
  <si>
    <t>mori's diary</t>
  </si>
  <si>
    <t>Que payasa soy.</t>
  </si>
  <si>
    <t>holi (she/her) ° 21 ° 𝕍𝕖𝕟𝕖𝕫𝕦𝕖𝕝𝕒𝕟 ℝ𝕠𝕝𝕖𝕡𝕝𝕒𝕪𝕖𝕣 algún día voy a poner algo interesting acá. ese día no es hoy. peace.</t>
  </si>
  <si>
    <t>mag 🌙✨</t>
  </si>
  <si>
    <t>...... matándome como una payasa a preparar oraciones de sintaxis para mañana cuando NO TENGO CLASE CON LOS DE SEGUNDO.</t>
  </si>
  <si>
    <t xml:space="preserve">otomes acc @fineuclase </t>
  </si>
  <si>
    <t>22 (she/her) ☆ spa/eng ok ☆ fatamoru • bloodborne • otome games • horror stuff ☆「いつかどこかで、またお会いしましょう。」♡</t>
  </si>
  <si>
    <t>https://signorfalzone.carrd.co/</t>
  </si>
  <si>
    <t>Lectora Intermedia</t>
  </si>
  <si>
    <t>Yo soy tan payasa con la ortografía, que no comería ahí, tan sólo por esas aberraciones. @BeatrizMC6 tu si comerías ahí? RT @BeatrizMC6: #leocononce @migueldlacruz @OnceNoticiasTV Pone cosas como carne hazada o chiles reyenos, quezadillas o mole povlano. Su ortografía me provoca un desasosiego inexplicable. #espectaculoparaavestruces</t>
  </si>
  <si>
    <t>https://twitter.com/BeatrizMC6/status/1354049060534165504</t>
  </si>
  <si>
    <t>Vendedor experto del área comercial de BioBonum, JD Gourmet, Totalplay y gracias a #LeoConOnce promotora de lectura. Leer crea conciencia y abre tu mente.</t>
  </si>
  <si>
    <t>pamela.</t>
  </si>
  <si>
    <t>Tapando lo que me da ansiedad con series 🤡 payasa</t>
  </si>
  <si>
    <t>Santo Domingo, Dominican Republic</t>
  </si>
  <si>
    <t>50% chelchita 25% desahogo/queja 25% reflexión</t>
  </si>
  <si>
    <t>toronto.</t>
  </si>
  <si>
    <t>título: sí soy una payasa y qué pasa</t>
  </si>
  <si>
    <t>《Tina》</t>
  </si>
  <si>
    <t>Ay ya empezaron a romper los huevos con el 14 de febrero. Soy la payasa mala onda del amor</t>
  </si>
  <si>
    <t>Santa Fe, Argentina</t>
  </si>
  <si>
    <t>• ▪Quiero bailar entre el odio y la paz en un punto neutral, a puro corazón.</t>
  </si>
  <si>
    <t>Sotico 🖤</t>
  </si>
  <si>
    <t>Bienvenidos a Art Attack 🎨. Hoy haremos un origami con el papel de payasa que hice.</t>
  </si>
  <si>
    <t>Pensamientos del momento, nada personal. 📱Ig: @Mariasotto_</t>
  </si>
  <si>
    <t>alaska♡*.+ ゜</t>
  </si>
  <si>
    <t>te imaginas creerte guay por vacilar con los subnormales de clase de que te la suda haber hecho sentir a alguien mal en clase pero luego ponerte a llorar porque te tratan mal??? vaya payasa</t>
  </si>
  <si>
    <t>🍼ੈ✨‧°𝖍𝖆𝖕𝖕𝖞𝖇𝖆𝖇𝖎°‧✨ੈ🍼 * ɪ ᴘʀᴀʏ ᴛᴏ ᴊᴇꜱꜱᴇ ʀᴜᴛʜᴇʀꜰᴏʀᴅ ᴇᴠᴇʀʏ ɴɪɢʜᴛ (*ᴗ͈ˬᴗ͈)💕💗 ☁️Ig: bxby.pwincess ☁️</t>
  </si>
  <si>
    <t>Napherys » Ank la ha encerrado en la Torre 📵</t>
  </si>
  <si>
    <t>Que tu hermana es una payasa. RT @AxelCMuller: ¿Que te ocurre?</t>
  </si>
  <si>
    <t>https://twitter.com/AxelCMuller/status/1354165601191817216
https://twitter.com/wxldmuller/status/1354165434292035584</t>
  </si>
  <si>
    <t>⠀⠀ . . . 𝐅𝐔𝐂𝐊𝐈𝐍𝐆 𝐐𝐔𝐄𝐄𝐍 ▬▬ 𝑇𝘩𝑎𝑡'𝑠 𝑛𝑜𝑡 𝑚𝑦 𝑝𝑟𝑜𝑏𝑙𝑒𝑚. ⦃ ᴘʀɪᴅᴇ &amp;&amp; ʟᴏʏᴀʟ ⦄ ❛ 𝗌𝗅𝖾𝖾𝗉 𝗐𝗂𝗍𝗁 𝗈𝗇𝖾 𝖾𝗒𝖾 𝗈𝗉𝖾𝗇 ❜ 𝓶𝓮𝓵</t>
  </si>
  <si>
    <t>ᴀ ɴ ᴛ ᴏ~♡ 🌱</t>
  </si>
  <si>
    <t>soy payasa triste</t>
  </si>
  <si>
    <t>Llorándole a Chris, si.</t>
  </si>
  <si>
    <t>ˢᵏᶻ ⁱˢ ᵐʸ ᵖʳⁱᵒʳⁱᵗʸ</t>
  </si>
  <si>
    <t>Evelina</t>
  </si>
  <si>
    <t>He quedado como una puta payasa</t>
  </si>
  <si>
    <t>Jerez de la Frontera, España</t>
  </si>
  <si>
    <t>Mi madre me dio la vida, crepúsculo las ganas de vivirla</t>
  </si>
  <si>
    <t>Remark</t>
  </si>
  <si>
    <t>Este enchufado nuevo rico, se cree la recepcionista de putin...... 🤣🤣🤣🤣🤣🤣🤣🤣🤣🤣 PAYASA  RT @TrapieLLo: Putin no cesa de atender llamadas de todos los gobernantes del planeta para solicitarle les provea de Dosis de #SputnikV amante el fracaso de ciertas GIGANTES farmacéuticas.</t>
  </si>
  <si>
    <t>https://twitter.com/TrapieLLo/status/1353893579895222272</t>
  </si>
  <si>
    <t>pic.twitter.com/oFmKNDXzpW</t>
  </si>
  <si>
    <t>Munich, Baviera</t>
  </si>
  <si>
    <t>🇻🇪 Licenciado en Contaduría Pública, especialista en Auditoría Forense. 🇩🇪</t>
  </si>
  <si>
    <t>𝑵𝒐𝒆𝒎𝒊❁</t>
  </si>
  <si>
    <t>Quede payasa pensando que nadie podía ver que lo dejaba en visto en WhatsApp 🙃</t>
  </si>
  <si>
    <t>Donde me lleve el viento ✿</t>
  </si>
  <si>
    <t>✨ “The key is in overcoming yourself. Because in the end, you are your only obstacle.” 1D promise💜✨</t>
  </si>
  <si>
    <t>angelines</t>
  </si>
  <si>
    <t>vaya payasa</t>
  </si>
  <si>
    <t>sisoy geminis😛</t>
  </si>
  <si>
    <t>❝ ℕ𝕒𝕚 ❞ 🐱 ᴬᵘ'ˢ 🐣</t>
  </si>
  <si>
    <t>Me pone muy nerviosa :( vi un tiktok ahora y la chica se pone a hablar de un libro y va y dice el final a los pocos segundos, para que lo recomiendas payasa? 🙃 RT @baby_sweetMochi: Vamos a ver, la gente que hace reseñas de libros y te cuenta desde el principio como acaba???? Hija de mi alma, contando spoilers y diciendo como acaba no haces que tenga ganas de leerme esos libros 🙄</t>
  </si>
  <si>
    <t>https://twitter.com/baby_sweetMochi/status/1354161857234427904</t>
  </si>
  <si>
    <t>#JIMINNIE to #YOONIE: I watched you while you were asleep and you looked like a cutie cat, can i patpat you? 🥺 💌 Au's ⁀➷ | •᷄ɞ•᷅ 🤍 -ㅅ- | 🇪🇸 | Fan account</t>
  </si>
  <si>
    <t>https://twitter.com/baby_sweetMochi/status/1344600755983024129?s=19</t>
  </si>
  <si>
    <t>ꜱᴀɪʟᴏʀ 🜲✨</t>
  </si>
  <si>
    <t>Y yo todo este tiempo pensando que el símbolo tenía como traducción alguna palabra inspiradora JNALSBAKAKJAK payasa¿?? Sisoy RT @Wismichu: Estoy flipando, pero cuánta gente había que no sabía esto jajajaja</t>
  </si>
  <si>
    <t>https://twitter.com/Wismichu/status/1354155275008286720
https://twitter.com/virut4nen41/status/1354138756668915714</t>
  </si>
  <si>
    <t>🇪🇨</t>
  </si>
  <si>
    <t>⚥『ˢʰᵉ ' ʰᵉʳ』| ❝누이 스트❞▪︎ꜱᴛᴀɴᴅ: ᴍᴜᴄʜᴏs ᴄʀᴇᴀᴅᴏʀᴇs▪︎(𝑴𝒖𝒍𝒕𝒊𝒇𝒂𝒏𝒅𝒐𝒎) | ♥️✨</t>
  </si>
  <si>
    <t>http://trovo.live/TochiTV</t>
  </si>
  <si>
    <t>Laura 🌹</t>
  </si>
  <si>
    <t>Yo: ¡HOY PUEDO CON TODO! La vida: pero vamos a ver, payasa</t>
  </si>
  <si>
    <t>Ourense, España</t>
  </si>
  <si>
    <t>Never be so kind you forget to be clever 🐉🌙</t>
  </si>
  <si>
    <t>http://instagram.com/laurazzalez</t>
  </si>
  <si>
    <t>Judith Laguna</t>
  </si>
  <si>
    <t>Gracias a la persona que me manda un vídeo pa llamarme payasa, yo solo estaba tan tranquila estudiando diseño</t>
  </si>
  <si>
    <t>Hyrule</t>
  </si>
  <si>
    <t>Ya no hay ganas de seguir el show💀</t>
  </si>
  <si>
    <t>No me llamo Luis</t>
  </si>
  <si>
    <t>Por andar de chistosa quedé como la payasa que soy 🤡</t>
  </si>
  <si>
    <t>Ya no me gustaría haber sido la Anna Karina de Godard. Feminista cuestionable. "Esto no es crecer, es seguir siendo absurdo".</t>
  </si>
  <si>
    <t>http://muchas-auroras.tumblr.com/</t>
  </si>
  <si>
    <t>Eduardo 🇪🇸</t>
  </si>
  <si>
    <t>Será payasa! RT @DinaBousselham: El problema no es que la tauromaquia guste o deje de gustar (para mí es una forma de maltrato animal). El tema es financiarla con dinero público en un momento tan difícil para el sector público, sobre todo para la sanidad. Otra ofensiva lamentable de la derecha madrileña.</t>
  </si>
  <si>
    <t>https://twitter.com/dinabousselham/status/1354046574339493888</t>
  </si>
  <si>
    <t>Eso es, ¡Su belleza radica en su sencillez!</t>
  </si>
  <si>
    <t>Eme</t>
  </si>
  <si>
    <t>Hay gente muy payasa</t>
  </si>
  <si>
    <t xml:space="preserve"> Villa del Rosario Entre Ríos </t>
  </si>
  <si>
    <t>Intento ser Kinesióloga</t>
  </si>
  <si>
    <t>👹</t>
  </si>
  <si>
    <t>Se me ha olvidado que hoy tenía cita en el hospital que me dieron hace 4 meses. Me voy a morir hecha una PUTA PAYASA 🤡🤡🤡🤡🤡🤡</t>
  </si>
  <si>
    <t xml:space="preserve">España/Spain </t>
  </si>
  <si>
    <t>𝕝𝕒 𝕚𝕜𝕜𝕚</t>
  </si>
  <si>
    <t>no me quiero enamorar nunnca massss, me boludearon del lado q me di vuelta, q payasa boluuuu</t>
  </si>
  <si>
    <t>Insta:viki_regonat01♡ Snap: vikiiregonat♡Tauro:14/05/04. 💚🧡💜</t>
  </si>
  <si>
    <t>ًmalenaˊ-</t>
  </si>
  <si>
    <t>no voy a ilusionarme con que hayley quizás saque algo esta semana por las dudas para no quedar como payasa pero voy a estar atenta</t>
  </si>
  <si>
    <t>life seems but a quick succession of busy nothings</t>
  </si>
  <si>
    <t>http://inhalerstuff.tumblr.com</t>
  </si>
  <si>
    <t>@B-ALEJANDRO-S</t>
  </si>
  <si>
    <t>!!!! AAAAAAAAA...¡¡¡¡ ESTA VIEJA @licmariajulia RIDÍCULA. PAYASA. MAMONA ETC.. ETC.. @telediariomty @luiscarlosortiz Ya déjese de mamadas y concretar a dar las noticias. Sus opiniones personales nos vienen cuántas a nadie le importan. Aprendale algo a @mezagutierrez</t>
  </si>
  <si>
    <t>NO LO SE</t>
  </si>
  <si>
    <t>Camilita Blues</t>
  </si>
  <si>
    <t>Ahhhh, siiii. Estremecedor el audio de Coppola... Qué payasa la Mazzoco! #FantinoALaTarde</t>
  </si>
  <si>
    <t>😍 No me busquen porque no me van a encontrar: Estoy perdida. Voy camino a convertirme en una mezcla de Violencia Rivas con Sarah Connor, en las dosis justas</t>
  </si>
  <si>
    <t>Pere Orts 0</t>
  </si>
  <si>
    <t>Se puede ser más Payasa? RT @maricarmenvkas: @PabloIglesias @PabloEchenique Estamos en un tiempo, que si veo una buena noticia, siempre me llega de @PabloIglesias !! GRACIAS ...</t>
  </si>
  <si>
    <t>https://twitter.com/maricarmenvkas/status/1354139729961365504</t>
  </si>
  <si>
    <t>Julii Tisera😚</t>
  </si>
  <si>
    <t>Jajaja hacerla bien dice patetica si ni bola te da el otro payasa 🤣🤣🤣🤣</t>
  </si>
  <si>
    <t>Mi verdadero amor mis hijas 😍</t>
  </si>
  <si>
    <t>𝒂 𝒕𝒆𝒆𝒏𝒂𝒈𝒆 𝒅𝒓𝒆𝒂𝒎</t>
  </si>
  <si>
    <t>se dice voz de payasa 🤡✌🏻 RT @spontneuosmagic: A mi me gusta tu voz es divertida y tiene vibra buena idk como explicarme.</t>
  </si>
  <si>
    <t>https://twitter.com/spontneuosmagic/status/1354150678835453958
https://twitter.com/entrcpydisorder/status/1354150367118958592</t>
  </si>
  <si>
    <t>going ghost 4 no damn reason</t>
  </si>
  <si>
    <t>⠀⠀⠀⠀⠀⠀⠀⠀⠀⠀⠀⠀ ⠀⠀⠀⠀⠀⠀⠀⠀ ⠀⠀⠀⠀⠀⠀⠀⠀⠀╱╱ 𝗒𝗈𝗎 𝖺𝗇𝖽 𝗂, 𝗐𝗂𝗅𝗅 𝖻𝖾 𝗒𝗈𝗎𝗇𝗀 𝖿𝗈𝗋𝖾𝗏𝖾𝗋 ⠀⠀⠀⠀⠀⠀⠀⠀⠀⠀⠀⠀ ⠀⠀⠀⠀⠀⠀⠀⠀⠀⠀⠀⠀</t>
  </si>
  <si>
    <t>Lian's Gio ☁️ ❂ YES</t>
  </si>
  <si>
    <t>hasta el coño de que me saliera la puta sai de mierda en la tl pues bloqueada por payasa de los cojones</t>
  </si>
  <si>
    <t>SubSub 🍥</t>
  </si>
  <si>
    <t>수빈 🤍𓈒 ﹫𝗣𝗘𝗡𝗧𝗔𝗚𝗢𝗡⠀𓂅 𝘛𝘢𝘬𝘢𝘩𝘢𝘴𝘩𝘪 𝘑𝘶𝘳𝘪 ໑❕ ⠀⠀⠀⠀⠀⠀⠀#아스트로⠀He/Him 🌟</t>
  </si>
  <si>
    <t>https://Chonnasorn.xn--rr8h</t>
  </si>
  <si>
    <t>Patricia Marchena</t>
  </si>
  <si>
    <t>¿Podré dejar de ser una payasa algún día?</t>
  </si>
  <si>
    <t>Andalucía, España</t>
  </si>
  <si>
    <t>Toda una vida conmigo, imagínatelo. 🏳️‍🌈</t>
  </si>
  <si>
    <t>https://www.instagram.com/patriciamarchenaa/?hl=es</t>
  </si>
  <si>
    <t>Berenice 🐍</t>
  </si>
  <si>
    <t>que me costaba darme cuenta antes que no era por ahí. No daba más de payasa, nunca más</t>
  </si>
  <si>
    <t>Buenos Aires, Argentina 🌍</t>
  </si>
  <si>
    <t>arkangel metal</t>
  </si>
  <si>
    <t>otra payasa palanqueada. RT @angiegomeza: Pero, si son tal para cual, qué podemos esperar. Moreno con la aprobación más baja de la historia, respalde a quien respalde, no representa al país. El Sr. ministro ha arriesgado la vida, pero de quienes vivimos en el país. #QueSeVayanTodos #RenunciaMinistroZevallos</t>
  </si>
  <si>
    <t>https://twitter.com/angiegomeza/status/1354149423840944135
https://twitter.com/pichinchauniver/status/1354110252845826049</t>
  </si>
  <si>
    <t>Experto en no ser pendejo. rockero indomable.</t>
  </si>
  <si>
    <t>MXNUEL</t>
  </si>
  <si>
    <t>Pinche vieja guanga, payasa, ridícula diría la Mane RT @MeliBarron: Martha Figueroa: “¿Por qué tienen que tomar hasta ahogarse?” Also Martha Figueroa:</t>
  </si>
  <si>
    <t>https://twitter.com/melibarron/status/1353926357605109761</t>
  </si>
  <si>
    <t>https://pbs.twimg.com/media/Esoc2DcXMAETip7.jpg</t>
  </si>
  <si>
    <t>Puebla, Pue.</t>
  </si>
  <si>
    <t>Te doy una pista: todo lo contrario a lo que viste por el insta.</t>
  </si>
  <si>
    <t>http://Instagram.com/aportelaxx</t>
  </si>
  <si>
    <t>Abri</t>
  </si>
  <si>
    <t>¿Qué es lo más raro de poner en una pizza? — probablemente semen</t>
  </si>
  <si>
    <t>https://curiouscat.qa/payasa/post/1178127857</t>
  </si>
  <si>
    <t>read carrd byf !</t>
  </si>
  <si>
    <t>she/them estj •♏•♎•♌•</t>
  </si>
  <si>
    <t>http://curiouscat.qa/payasa</t>
  </si>
  <si>
    <t>gabriel contreras</t>
  </si>
  <si>
    <t>Hay gente payasa, estúpida y sinceramente descarada. Y luego está este carajo RT @camifalcon_: no usen tinder lo único que tengo para decir</t>
  </si>
  <si>
    <t>https://twitter.com/camifalcon_/status/1353837210479579137</t>
  </si>
  <si>
    <t>https://pbs.twimg.com/media/EsnLxILXAAElQDB.jpg</t>
  </si>
  <si>
    <t>Venezuela ( saquenme de aquí)</t>
  </si>
  <si>
    <t>procrastinador empírico</t>
  </si>
  <si>
    <t>Ariadna Carolina 👑</t>
  </si>
  <si>
    <t>Mi novio tiene 26 años y pelea con su sobrino de 4 años por mi 😂 El día que tenga hijos los caga a piñas directamente 😂😂😂😂</t>
  </si>
  <si>
    <t>Las Heras-Mendoza</t>
  </si>
  <si>
    <t>~LIBRE PARA SER FELIZ ❤️~ Fan de La Sole ❤️ ~Mereces lo que sueñas~♥♫♛ Radical❤️⚪❤️</t>
  </si>
  <si>
    <t>http://www.facebook.com/</t>
  </si>
  <si>
    <t>Ａｃｃｕｒａｔｅ　Ａｎｇｅｌ</t>
  </si>
  <si>
    <t>Literalmente tienen una bandera Anarquista, totalitario de qué? Payasa RT @eledhmel: "Los fascistas del futuro se llamarán a sí mismos antifascistas". Los totalitarios acosando al disidente -en este caso @vox_es- en nombre de la libertad. Daría risa si no fuera trágico.</t>
  </si>
  <si>
    <t>https://twitter.com/eledhmel/status/1353307543163043840</t>
  </si>
  <si>
    <t>pic.twitter.com/laGxOvUf5y</t>
  </si>
  <si>
    <t>En algún lugar de un gran país</t>
  </si>
  <si>
    <t>•Be Ace do crime •Descendiente de Judío-Alemanes •Muerte a los sionistas🇵🇸 •FA-CES •Elle/Ella/El •Sahara Libre🇪🇭 •LG(B)TI(A)(Q)+</t>
  </si>
  <si>
    <t>https://www.instagram.com/p/CC_cw5UoeMa/?igshid=mj1d7h2sr9o</t>
  </si>
  <si>
    <t>grinch</t>
  </si>
  <si>
    <t>Real yo soy una borde pero si eres una payasa me tienes ganas RT @alxxxcz: yo creo que lo que más me atrae de una persona es la agilidad mental de decir cosas graciosas sin pensarlas zas ahí dices una tontería y ya me enamoré</t>
  </si>
  <si>
    <t>https://twitter.com/alxxxcz/status/1354136408525598720</t>
  </si>
  <si>
    <t xml:space="preserve">Cádiz </t>
  </si>
  <si>
    <t>si soy leo y no soy ni creida ni egocentrica 🏳️‍🌈</t>
  </si>
  <si>
    <t>ᅠᅠ𝚂𝚊𝚘𝚛𝚒, ♡.</t>
  </si>
  <si>
    <t>Hola, ¿alguien me regala el premio de la más payasa del año? 🧍🏻‍♀️</t>
  </si>
  <si>
    <t>⠀⠀ Since 1999. Dancer &amp; singer who loves photography and movies♡! My ghibli garden: Olivia, Natsuki, Valeska, Nayard &amp; Kiki. 🧸</t>
  </si>
  <si>
    <t>⠀ᅠᅠ˓ 赤い砂漠 ˒ — w𝗂𝗅𝖽𝗳𝗹𝗼𝘄𝗲𝗿, ♡. little fairy in the sunset, admirer of passions and emotions. © Sasaki, from Osaka. 🍯☁️</t>
  </si>
  <si>
    <t>https://curiouscat.qa/noirphilm</t>
  </si>
  <si>
    <t>Aliiii Intensita 🌺</t>
  </si>
  <si>
    <t>RI-DÍ-CU-LA Eda Yıldız Bolat se ha quedado con tus acciones en la compañía y con el amor de Serkan Bolat. Vive tu oasis particular, que parece prefieres vivir engañada, que ya te llegará tu hora. Y ME REIRÉ EN TU CARA PAYASA. #SenÇalKapımı</t>
  </si>
  <si>
    <t>https://pbs.twimg.com/media/EsrkW-wXYAAfKCR.jpg</t>
  </si>
  <si>
    <t>Aşk Yok 🎈. Intensita desde el siglo pasado. Adicta a todo lo shippable en el mundo.❤️🤩</t>
  </si>
  <si>
    <t>ً vɑlkɑ + ɑri ♡</t>
  </si>
  <si>
    <t>en realidad el que queda como pelotudo sos vos siguiendo una temática misógina VOLVIENDOLA MÁS MISÓGINA pero dale que la payasa es una RT @neylan44: Y en que te caga a vos? Es mi personaje y lo llevo como a mi se me re canta la gana, si quiero ser hombre, mujer, perro, vaca, dibujito en fake lo voy a hacer porque ES FAKE, deja de quedar como payaso diciendo semejante pelotudes.</t>
  </si>
  <si>
    <t>https://twitter.com/neylan44/status/1354143249099857925
https://twitter.com/inSoleiltea/status/1354137747989159937</t>
  </si>
  <si>
    <t xml:space="preserve">⠀⩩ 1OO2 ___ @notrecIipse  › </t>
  </si>
  <si>
    <t>yo no tengo un ángel, el demonio me cuida</t>
  </si>
  <si>
    <t>https://www.my-moon.xn--c5h/</t>
  </si>
  <si>
    <t>🦋</t>
  </si>
  <si>
    <t>la homofobia no existe dice lpm es que ya lo leí todo en twitter no es joda. que controlen los circos que se les escapó una payasa RT @jjeongwk: @wintgrey que abran las escuelas para vos que lo necesitas, la homofobia no EXISTE. Pero que se puede esperar de una estúpida que repite lo que le dicen y es incapaz de agarrar un libro (o quizás te duela tocar uno)</t>
  </si>
  <si>
    <t>https://twitter.com/jjeongwk/status/1353737465127956480</t>
  </si>
  <si>
    <t>she/her 🇺🇾</t>
  </si>
  <si>
    <t>like flower petals that will bloom again</t>
  </si>
  <si>
    <t>FraneldelLaúd</t>
  </si>
  <si>
    <t>Así que ahora las terfas son también señoros en lo que respecta a su autoconfianza. Hay que ser payasa y creída</t>
  </si>
  <si>
    <t>https://pbs.twimg.com/media/EsrjKePW8AAZRzI.jpg</t>
  </si>
  <si>
    <t>Vivo aquí cuando se me calienta la boca. Antifa, antiespecista, antiTERF. Eat the rich. Cis, él, him/his. Mi música: https://m.soundcloud.com/fransoyyo</t>
  </si>
  <si>
    <t>https://m.soundcloud.com/fransoyyo</t>
  </si>
  <si>
    <t>laaurasanchez._</t>
  </si>
  <si>
    <t>Mi cara de payasa pensando que alguno de los dos se llevaba el rosco hoy y resulta que eliminan a Luis en la silla azul 🤡🤡🤡 Luis te queremos #pasapalabra180</t>
  </si>
  <si>
    <t>La manga, Murcia 📌 fútbol ⚽💪🏼 15 trust yourself ✨</t>
  </si>
  <si>
    <t>Andrea Fab</t>
  </si>
  <si>
    <t>La payasa bocona. RT @rialjorge: Parece que no era cierto. Y son dirigentes....</t>
  </si>
  <si>
    <t>https://twitter.com/rialjorge/status/1354131700532572160</t>
  </si>
  <si>
    <t>https://pbs.twimg.com/media/EsrXmj6W4AU39SS.jpg</t>
  </si>
  <si>
    <t xml:space="preserve">Ciudad del Libertador General </t>
  </si>
  <si>
    <t>Hija, Hermana, Tía, Amiga. ☝Para un peronista no hay nada mejor que otro peronista👈</t>
  </si>
  <si>
    <t>Lu.</t>
  </si>
  <si>
    <t>Cuando en clase virtual me avisan que mi cámara está prendida pero en realidad es que me gusta tenerla así. Debo haber quedado como una payasa. Siempre.🤡🤡</t>
  </si>
  <si>
    <t>Diseño de Vestuario UPB- Mamarrachismo ilustrado 🏳️‍🌈 Sígueme en Instagram: https://instagram.com/elcuervodepoe</t>
  </si>
  <si>
    <t>Carmen 🌼</t>
  </si>
  <si>
    <t>Visto lo visto, Selin le come la cabeza a Serkan sobre Eda. Y yo pensando que el personaje iba a evolucionar... Si claro. Payasa se nace. #SenÇalKapımı</t>
  </si>
  <si>
    <t>pic.twitter.com/z5DG0VGoC8</t>
  </si>
  <si>
    <t>Se feliz un instante y ese instante será tu vida 🎶Daría lo que fuera por saber donde alzamos la bandera de los imperfectos 🎶 #HalaMadridYNadaMas</t>
  </si>
  <si>
    <t>jota</t>
  </si>
  <si>
    <t>Dios mío líbrame que me tengan como una payasa como a esa pobre pela, líbrame dios</t>
  </si>
  <si>
    <t>Ig📸; Jesy13___</t>
  </si>
  <si>
    <t>payasa pero buena muchacha</t>
  </si>
  <si>
    <t>me he cambiado la foto de perfil pero sigo siendo una payasa abjbsjs</t>
  </si>
  <si>
    <t>Murcia, España 🏳‍🌈</t>
  </si>
  <si>
    <t>yo vine por los memes y a quejarme</t>
  </si>
  <si>
    <t>https://www.instagram.com/cafeenvenaxfa/</t>
  </si>
  <si>
    <t>vicenta</t>
  </si>
  <si>
    <t>podrían declararme como feria porque soy una payasa y mi estabilidad emocional es una montaña rusa</t>
  </si>
  <si>
    <t>me reporto en tu zona cada día más llorona</t>
  </si>
  <si>
    <t>aroix</t>
  </si>
  <si>
    <t>no mientas payasa RT @nosoylaauut: @mxriaprz @baguena_ @aaroooatj noooo!!! que se acaben ya los putos hilos quiero estudiar😩😭😭</t>
  </si>
  <si>
    <t>https://twitter.com/nosoylaauut/status/1354142097834729473</t>
  </si>
  <si>
    <t>madriz</t>
  </si>
  <si>
    <t>soy géminis que te esperas</t>
  </si>
  <si>
    <t>http://instagram.com/aaroooatj__</t>
  </si>
  <si>
    <t>la estela quimica ✈️🌲</t>
  </si>
  <si>
    <t>Yo con esa señora ya no espero nada, ya me gaste el maquillaje de payasa por todas las veces que quedé 🤡  RT @GagaMediaDotNet: Babylon (Original Haus Labs Version) is now registered on BMI!</t>
  </si>
  <si>
    <t>https://twitter.com/gagamediadotnet/status/1354129584971796480</t>
  </si>
  <si>
    <t>pic.twitter.com/9QodOfJniv
https://pbs.twimg.com/media/EsrVmLpXYAElIA9.jpg</t>
  </si>
  <si>
    <t>21 | 🇲🇽| ♓️ | UNAM | Student life | DragRaceFan | Gaga&amp;Lana stan | happy&amp;sad | IG: herrera_angel99</t>
  </si>
  <si>
    <t>dosges</t>
  </si>
  <si>
    <t>Me da risita que traté de hacer el challenge de TikTok con Lupita de llamar muchas veces a tu perro cuando esta al lado para ver su reacción y a la man no le importa. Creo que es xq soy una payasa y siempre la jodo entonces esta dizque viene esta man de nuevo con su awebason.</t>
  </si>
  <si>
    <t>un monólogo interno</t>
  </si>
  <si>
    <t>carmen</t>
  </si>
  <si>
    <t>tenia de propósito de año nuevo aprender a decir que no y ya lo estoy incumpliendo maravilloso soy una payasa</t>
  </si>
  <si>
    <t>Sevilla, Andalucía</t>
  </si>
  <si>
    <t>que insoportable es la puta trixie</t>
  </si>
  <si>
    <t>https://www.vinted.fr/member/34209170-carmentejada9</t>
  </si>
  <si>
    <t>A G A P O R N I 🦋</t>
  </si>
  <si>
    <t>JAJA VIEJA PAYASA RT @emmocampo0: *yo opinando sobre Andrea Legarreta y Martha Figueroa después de sus comentarios acerca de lo de nath campos*</t>
  </si>
  <si>
    <t>https://twitter.com/emmocampo0/status/1353904372229541888</t>
  </si>
  <si>
    <t>pic.twitter.com/B3DCDiUh1K</t>
  </si>
  <si>
    <t>San Francisco del Rincón, Guanajuato</t>
  </si>
  <si>
    <t>🧚🏿✨𝓼𝓱𝓾𝓽 𝓽𝓱𝓮 𝓯𝓾𝓬𝓴 𝓾𝓹✨🧚🏿</t>
  </si>
  <si>
    <t>https://www.instagram.com/babyy_woman/?hl=es-la</t>
  </si>
  <si>
    <t>la guarida del lobo</t>
  </si>
  <si>
    <t>Payasa Marginal jajaja RT @solodigitalmark: Payasa, marginallll....más nuncaaaaaa ridículaaaa 💅💅</t>
  </si>
  <si>
    <t>https://twitter.com/solodigitalmark/status/1352995888134815745</t>
  </si>
  <si>
    <t>pic.twitter.com/t2PV1QSihL</t>
  </si>
  <si>
    <t>Valar morgulis #antiuribista sígueme y te sigo! Sabinero, melomano, politólogo, malhablado irreverente, puto!</t>
  </si>
  <si>
    <t>maria unporro</t>
  </si>
  <si>
    <t>la semana que viene empiezo con los parciales título: si soy una payasa y que pasa</t>
  </si>
  <si>
    <t>@dylanobrien marry me</t>
  </si>
  <si>
    <t>ąnitą</t>
  </si>
  <si>
    <t>LA MÁS PAYASA SI SOOY</t>
  </si>
  <si>
    <t>•fan account• 𝗠𝗨𝗟𝗧𝗜𝗙𝗔𝗡𝗗𝗢𝗠 acá comento de todo principalmente sobre dizis turcas #SenÇalKapımı #Ramo #Emanet #SonYaz</t>
  </si>
  <si>
    <t>Will_2004</t>
  </si>
  <si>
    <t>SABE ALGUIEN DE LA PAYASA......PROFUGA..❓</t>
  </si>
  <si>
    <t>https://pbs.twimg.com/media/EsrdRodWMAYIeY6.jpg</t>
  </si>
  <si>
    <t>karen.</t>
  </si>
  <si>
    <t>Y ésta payasa? RT @Emchmi99: @lwtxhesxlh I’ve spoken to Harry’s team about this kind of rumor and they’ve told me that Harry finds them “very upsetting” and that actual fans wouldn’t doing this kind of thing. They would respect Harry and the decisions he’s made, and to leave the people he cares about ALONE.</t>
  </si>
  <si>
    <t>https://twitter.com/Emchmi99/status/1354091679347843074</t>
  </si>
  <si>
    <t>buzzing</t>
  </si>
  <si>
    <t>»we could be enough.«</t>
  </si>
  <si>
    <t>https://shethebrave28.carrd.co/</t>
  </si>
  <si>
    <t>Lorens Pampeano 🇦🇷🇮🇹🇪🇦</t>
  </si>
  <si>
    <t>Otra payasa sobrevaluada que twiteaba haciéndose la ácida sobre política mientras le dictaban qué escribir... RT @patgow:</t>
  </si>
  <si>
    <t>https://twitter.com/patgow/status/1354134049426694145</t>
  </si>
  <si>
    <t>https://pbs.twimg.com/media/EsrZfFPXAAMUNlp.png</t>
  </si>
  <si>
    <t>No todo lo que digo es serio, si no te gusta, es fácil, seguís camino Ateo. Algún día tendremos el gobierno que necesitamos (pensé en merecemos, pero no da)...</t>
  </si>
  <si>
    <t>Carlu 🇦🇷🥦</t>
  </si>
  <si>
    <t>mira si vas a estar tan pendiente de alguien que "te cae mal" payasa</t>
  </si>
  <si>
    <t>mundo ot</t>
  </si>
  <si>
    <t>19.《 ᴄᴇᴘᴇᴅᴀ, ᴍᴀɪ, ᴛɪɴɪ, ᴀɪᴛᴀɴᴀ, ᴍɪᴍɪ, ᴍɪʀɪᴀᴍ, ᴀɴᴀ, ᴄᴀᴍɪ, ᴇᴠᴀ, ᴀᴍᴀɪᴀ 》#sencalkapimi 💗</t>
  </si>
  <si>
    <t>vale;</t>
  </si>
  <si>
    <t>que payasa soy jaja</t>
  </si>
  <si>
    <t xml:space="preserve">cams ˚ * ⋆ . · </t>
  </si>
  <si>
    <t>loving louis &amp; timothée</t>
  </si>
  <si>
    <t>WILMER GHERONIMO</t>
  </si>
  <si>
    <t>ESA PAYASA @MajoDoria "JAMAS DESEÉ QUE PARTIERA DE ESTE" SOLO LO DICE DE DIENTES PARA AFUERA RT @HeLeNaBuckarctt: 📣😡😡😡😡😡</t>
  </si>
  <si>
    <t>https://twitter.com/HeLeNaBuckarctt/status/1354071151614558210</t>
  </si>
  <si>
    <t>https://pbs.twimg.com/media/EsqgiRaXEAUYPUW.jpg</t>
  </si>
  <si>
    <t>POR AHÍ</t>
  </si>
  <si>
    <t>𝕟𝕒𝕥𝕒𝕝𝕚𝕒</t>
  </si>
  <si>
    <t>Yo quede payasa cuando pensé que la profe de micro daría un break entre la clase y el lab 🤡🤡🤡</t>
  </si>
  <si>
    <t>escondida en arte, letras, música, pensamientos y emociones... | 21 | UPRB | futura dogtora 🐾 | ig: @_aailatann</t>
  </si>
  <si>
    <t>Yas CF 💫</t>
  </si>
  <si>
    <t>ES UNA PAYASA MAS JAJAJA 🤣🤣 #futbolistaprofesional RT @marisella_joya: Me contaron que ayer en EEG presentaron a una señorita “futbolista profesional” peruana, que intriga! quisiera saber en qué equipo internacional militó porque aquí en Perú el fútbol femenino aún no es “profesional” 🤡</t>
  </si>
  <si>
    <t>https://twitter.com/marisella_joya/status/1354087370258264065</t>
  </si>
  <si>
    <t>Always 💕</t>
  </si>
  <si>
    <t>Gabriela Gil.</t>
  </si>
  <si>
    <t>Una niñita jugando a querer ser adulta y por lo único qué pasa es por payasa</t>
  </si>
  <si>
    <t>https://instagram.com/xxgxbrxxlx?igshid=1cqrcxyubwf7a</t>
  </si>
  <si>
    <t>Nalitaca</t>
  </si>
  <si>
    <t>Soñé que una rancia me bardeaba y mi insulto era "volve a terapia payasa" ni soñando puteo bien jajajajajaja</t>
  </si>
  <si>
    <t>Santa Dead</t>
  </si>
  <si>
    <t>La patria es el otro ✌ El rock como todo llanto.</t>
  </si>
  <si>
    <t>Luismaria</t>
  </si>
  <si>
    <t>Y la payasa que dice?? RT @radiomitre: Carla Vizzotti aseguró que se “desaceleraron los casos” pero sigue “una meseta alta”</t>
  </si>
  <si>
    <t>https://twitter.com/radiomitre/status/1354112108020031490
https://radiomitre.cienradios.com/carla-vizzotti-aseguro-que-se-desaceleraron-los-casos-pero-sigue-una-meseta-alta/?utm_source=twitter&amp;utm_medium=nota&amp;utm_campaign=socialshare&amp;utm_content=repost2</t>
  </si>
  <si>
    <t>no me compres por el frasco!!!! si querés me seguís, me da lo mismo, ya no quiero ser famoso...solo me interesa interactuar y poder expresar lo que siento!!!!</t>
  </si>
  <si>
    <t>amaayaaac</t>
  </si>
  <si>
    <t>menuda payasa que asco me da</t>
  </si>
  <si>
    <t>producto del deseo insoportable / @candadoamayak</t>
  </si>
  <si>
    <t>https://instagram.com/amayachulia?igshid=1szx69b1cw86h</t>
  </si>
  <si>
    <t>yasue ghawmiz ۞🔻💚🤍💚</t>
  </si>
  <si>
    <t>Rocío monasterio mintiendo en directo y encima haciendo el ridículo... da igual el día que lo escribas y en la cadena de televisión que lo haga. Es una auténtica payasa RT @LaHoraTVE: Rocío Monasterio (@monasterioR) : "Los medios de comunicación a veces no hacen el más mínimo esfuerzo por buscar la verdad" @monicalopez_tve responde: "Lo hacemos, se lo juro" #LaHoraMonasterio</t>
  </si>
  <si>
    <t>https://twitter.com/LaHoraTVE/status/1353982864812109826</t>
  </si>
  <si>
    <t>pic.twitter.com/Xo0UtPTGGp</t>
  </si>
  <si>
    <t>Al fondo...Sevilla</t>
  </si>
  <si>
    <t>El currante de derechas es el perro que le guarda la casa a su amo, pero duerme en la perrera, y descubre que es el perro del amo cuando el amo lo apalea.</t>
  </si>
  <si>
    <t>Juanchi</t>
  </si>
  <si>
    <t>Y la payasa Donda? Y el plan? Y los contratos?</t>
  </si>
  <si>
    <t>pic.twitter.com/V840Ux4VDa</t>
  </si>
  <si>
    <t>La Plata, Argentina</t>
  </si>
  <si>
    <t>•Instagram / •Tiktok: @juanchihernandz ✊🏻🌈💚🧡 | Arq. en proceso | @proargentina</t>
  </si>
  <si>
    <t>https://www.instagram.com/juanchihernandz/</t>
  </si>
  <si>
    <t>Mafer Rubio</t>
  </si>
  <si>
    <t>La palabra del momento "PAYASA" 🤣😂</t>
  </si>
  <si>
    <t>pic.twitter.com/r5olTpeA0q</t>
  </si>
  <si>
    <t>Ecuador</t>
  </si>
  <si>
    <t>AnimalLoVer 🐾♪ #liveforthemoments 💫</t>
  </si>
  <si>
    <t>https://www.instagram.com/ititas/</t>
  </si>
  <si>
    <t>🧃gabri🧃</t>
  </si>
  <si>
    <t>anoche soñé que me fumaba un piti y me desperté asustadísima lo pasé fatal no me gustó nada pero ya después me puse a pensar y dije tengo la oportunidad de fumar sin que me haga daño y no lo disfruto? vaya payasa</t>
  </si>
  <si>
    <t>NeoMadrid</t>
  </si>
  <si>
    <t>soy alérgica a mí misma</t>
  </si>
  <si>
    <t>Aorguez</t>
  </si>
  <si>
    <t>A la Estadista no a la payasa motosierra, escaladora, trepadora, arrastrada, advenediza, come cuando hay. RT @Lennonbecqer: A quién le creen a Ángela Merkel o a Lilly Téllez</t>
  </si>
  <si>
    <t>https://twitter.com/Lennonbecqer/status/1354078914218438658</t>
  </si>
  <si>
    <t>https://pbs.twimg.com/media/EsqnlxuW8AoBexf.jpg</t>
  </si>
  <si>
    <t>Adelante, siempre adelante, no importa cuantas veces caigas y cuan duros sean los golpes, lo importante es levantarse y seguir adelante!</t>
  </si>
  <si>
    <t>Miwi.</t>
  </si>
  <si>
    <t>De verdad que hay gente que es payasa y luego payasa y subnormal HAHAHAHA.</t>
  </si>
  <si>
    <t>742 Evergreen Terrace</t>
  </si>
  <si>
    <t>Irascible. Embrace your dreams. 'Yo solo suelto un te quiero cuando el corazón me obliga.' Maquina de matar por siempre. Ride or die. Lvl 23.</t>
  </si>
  <si>
    <t>http://instagram.com/kaculuquillam</t>
  </si>
  <si>
    <t>⊹ ࿔ℓαℓα ‹𝟹🐥ᴮᴱ⁷ᴵ ᵐⁱˢˢ ᵏᵒᵒ</t>
  </si>
  <si>
    <t>Yo: se tiñe el pelo Also yo: se tiñe del mismo color de su pelo Payasa se nace no se hace🤡</t>
  </si>
  <si>
    <t>pic.twitter.com/4jHdQioRnc</t>
  </si>
  <si>
    <t>We connect to 7G||Jimin &amp; Jungkook lover (OT7 always💜)||70% soft🥺 30% hard🔞||Love yoursef, love myself, peace ✌🏻||99'line|| she/her.</t>
  </si>
  <si>
    <t>https://youtu.be/xEeFrLSkMm8</t>
  </si>
  <si>
    <t>Mire 🌧</t>
  </si>
  <si>
    <t>pero si te has pedido un café de mierda payasa RT @Nuriahp1394: Casi 21 años y me siguen pidiendo el DNI para tomar una cerveza 🤡🤡🤡</t>
  </si>
  <si>
    <t>https://twitter.com/nuriahp1394/status/1354131069650563072</t>
  </si>
  <si>
    <t>Móstoles, Madrid</t>
  </si>
  <si>
    <t>http://Instagram.com/mireeeela16_</t>
  </si>
  <si>
    <t>mae</t>
  </si>
  <si>
    <t>tanto ibais a votar a la payasa esta? id a terapia RT @risadenver: 🏅 37. tokio - la casa de papel: 645 votos (0’19%)</t>
  </si>
  <si>
    <t>https://twitter.com/risadenver/status/1354129811195785220</t>
  </si>
  <si>
    <t>pic.twitter.com/govON32z3r</t>
  </si>
  <si>
    <t>winden  •  4 8 15 16 23 42</t>
  </si>
  <si>
    <t>you still got my back? @writerboy35</t>
  </si>
  <si>
    <t>💪🏼🇲🇽 B</t>
  </si>
  <si>
    <t>Están de acuerdo que #LillyTéllez es una vulgar payasa, qué solo busca reflectores?</t>
  </si>
  <si>
    <t>Aquel que No conoce su historia, esta condenado a repetirla. #MexicanosConMemoria</t>
  </si>
  <si>
    <t>𝕱𝖚𝖊𝖌𝖔 𝕮𝖊𝖑𝖊𝖘𝖙𝖎𝖆𝖑 🔥ミ☆</t>
  </si>
  <si>
    <t>Uno que iba sin mascarilla me ha llamado payasa cuando el payaso es él por poner en riesgo su vida y la de los demás.</t>
  </si>
  <si>
    <t>𝕿𝖍𝖎𝖘 𝖌𝖎𝖗𝖑 𝖎𝖘 𝖔𝖓 𝖋𝖎𝖗𝖊 🔥</t>
  </si>
  <si>
    <t>D a l a🌪</t>
  </si>
  <si>
    <t>La vida es un circo y Marie es la payasa😂😂😂</t>
  </si>
  <si>
    <t>Softball player💥F4:13🙏🏽🤍 PUCPR// Gi❤️</t>
  </si>
  <si>
    <t>Danna franco</t>
  </si>
  <si>
    <t>Que tipa tan payasa 🤢</t>
  </si>
  <si>
    <t>Madrid, Colombia</t>
  </si>
  <si>
    <t>Siempre Brillando Ante Las Demás 💕💅</t>
  </si>
  <si>
    <t>미미/Mimi✨𝓐𝓰𝓾𝓼</t>
  </si>
  <si>
    <t>Feliz cumpleaños mi payasa hermosa 🤡💕 RT @V5labendeo: Btw it’s merry day in Japan everyone say “happy birthday merry”</t>
  </si>
  <si>
    <t>https://twitter.com/V5labendeo/status/1354122483604054016</t>
  </si>
  <si>
    <t>https://pbs.twimg.com/media/EsrPN_AWMAEgok8.jpg</t>
  </si>
  <si>
    <t>Bruh💕 || 19 || He/Him || 🇦🇷 || UTAU || シャイ神経 || 😔ENG/💙ESP || 아이즈원✨ || Marselo🐱/Freddy🐶 || J0T0😳 || Single😎|| Banner by @_Hyee78</t>
  </si>
  <si>
    <t>https://soundcloud.com/mimisan15</t>
  </si>
  <si>
    <t>miss Dai.</t>
  </si>
  <si>
    <t>SOY PAYASA. RT @That70smarauder: Nunca escuche mejillas traseras audjsksjdjd</t>
  </si>
  <si>
    <t>https://twitter.com/That70smarauder/status/1354124814487875584
https://twitter.com/aquariusflames/status/1354122650872897538</t>
  </si>
  <si>
    <t>──┈ ৎ ❪ roleplayer a medias ❫ ﹟queer ໒ ⋰ ﴾ me harté de la vida, dadme otps con maricones ﴿▐▒ ꒰ besos y abrazos ꒱꒹ ⦅ @bambiflowersvn ⦆</t>
  </si>
  <si>
    <t>Event Log</t>
  </si>
  <si>
    <t>This sheet will store the Twitter Archiver Logs</t>
  </si>
  <si>
    <t>Fetched 100 tweets for Cerda lang:es -filter:retweets -filter:replies</t>
  </si>
  <si>
    <t>Fetched 100 tweets for Pvta lang:es -filter:retweets -filter:replies</t>
  </si>
  <si>
    <t>Fetched 38 tweets for Eres Pvta lang:es -filter:retweets -filter:replies</t>
  </si>
  <si>
    <t>Fetched 100 tweets for Pvta Ella OR La OR Eres lang:es -filter:retweets -filter:replies</t>
  </si>
  <si>
    <t>Fetched 3 tweets for C0jer Ella OR La OR Ellas -Ellos -EL -filter:retweets -filter:replies</t>
  </si>
  <si>
    <t>Fetched 82 tweets for Piruja Ella OR La OR Ellas -filter:retweets -filter:replies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</si>
</sst>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quot;/&quot;mm&quot;/&quot;yyyy&quot; &quot;hh&quot;:&quot;mm"/>
    <numFmt numFmtId="165" formatCode="m/d/yyyy h:mm:ss"/>
  </numFmts>
  <fonts count="7">
    <font>
      <sz val="10.0"/>
      <color rgb="FF000000"/>
      <name val="Arial"/>
    </font>
    <font>
      <sz val="10.0"/>
      <color rgb="FFFFFFFF"/>
      <name val="Droid Sans"/>
    </font>
    <font>
      <sz val="8.0"/>
      <color rgb="FFFFFFFF"/>
      <name val="Droid Sans"/>
    </font>
    <font>
      <sz val="8.0"/>
      <color theme="1"/>
      <name val="Droid Sans"/>
    </font>
    <font>
      <u/>
      <sz val="8.0"/>
      <color rgb="FF0000FF"/>
      <name val="Droid Sans"/>
    </font>
    <font>
      <u/>
      <sz val="8.0"/>
      <color rgb="FF0000FF"/>
      <name val="Droid Sans"/>
    </font>
    <font>
      <u/>
      <sz val="8.0"/>
      <color rgb="FF0000FF"/>
      <name val="Droid Sans"/>
    </font>
  </fonts>
  <fills count="3">
    <fill>
      <patternFill patternType="none"/>
    </fill>
    <fill>
      <patternFill patternType="lightGray"/>
    </fill>
    <fill>
      <patternFill patternType="solid">
        <fgColor rgb="FF3C78D8"/>
        <bgColor rgb="FF3C78D8"/>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164" xfId="0" applyAlignment="1" applyFont="1" applyNumberFormat="1">
      <alignment horizontal="center" vertical="center"/>
    </xf>
    <xf borderId="0" fillId="0" fontId="1" numFmtId="0" xfId="0" applyAlignment="1" applyFont="1">
      <alignment readingOrder="0" vertical="center"/>
    </xf>
    <xf borderId="0" fillId="0" fontId="1" numFmtId="0" xfId="0" applyAlignment="1" applyFont="1">
      <alignment vertical="center"/>
    </xf>
    <xf borderId="0" fillId="0" fontId="1" numFmtId="0" xfId="0" applyAlignment="1" applyFont="1">
      <alignment horizontal="center" vertical="center"/>
    </xf>
    <xf borderId="0" fillId="2" fontId="2" numFmtId="0" xfId="0" applyAlignment="1" applyFill="1" applyFont="1">
      <alignment horizontal="center" readingOrder="0" vertical="center"/>
    </xf>
    <xf borderId="0" fillId="2" fontId="2" numFmtId="0" xfId="0" applyAlignment="1" applyFont="1">
      <alignment readingOrder="0" vertical="center"/>
    </xf>
    <xf borderId="0" fillId="2" fontId="2" numFmtId="0" xfId="0" applyAlignment="1" applyFont="1">
      <alignment vertical="center"/>
    </xf>
    <xf borderId="0" fillId="0" fontId="3" numFmtId="164" xfId="0" applyAlignment="1" applyFont="1" applyNumberFormat="1">
      <alignment horizontal="center" readingOrder="0" vertical="center"/>
    </xf>
    <xf borderId="0" fillId="0" fontId="4" numFmtId="0" xfId="0" applyAlignment="1" applyFont="1">
      <alignment vertical="center"/>
    </xf>
    <xf borderId="0" fillId="0" fontId="3" numFmtId="0" xfId="0" applyAlignment="1" applyFont="1">
      <alignment readingOrder="0" vertical="center"/>
    </xf>
    <xf borderId="0" fillId="0" fontId="3" numFmtId="0" xfId="0" applyAlignment="1" applyFont="1">
      <alignment vertical="center"/>
    </xf>
    <xf borderId="0" fillId="0" fontId="5" numFmtId="0" xfId="0" applyAlignment="1" applyFont="1">
      <alignment readingOrder="0" vertical="center"/>
    </xf>
    <xf borderId="0" fillId="0" fontId="3" numFmtId="0" xfId="0" applyAlignment="1" applyFont="1">
      <alignment readingOrder="0" vertical="center"/>
    </xf>
    <xf borderId="0" fillId="0" fontId="3" numFmtId="0" xfId="0" applyAlignment="1" applyFont="1">
      <alignment horizontal="center" readingOrder="0" vertical="center"/>
    </xf>
    <xf borderId="0" fillId="0" fontId="3" numFmtId="0" xfId="0" applyAlignment="1" applyFont="1">
      <alignment horizontal="center" vertical="center"/>
    </xf>
    <xf borderId="0" fillId="0" fontId="3" numFmtId="14" xfId="0" applyAlignment="1" applyFont="1" applyNumberFormat="1">
      <alignment horizontal="center" readingOrder="0" vertical="center"/>
    </xf>
    <xf borderId="0" fillId="0" fontId="6" numFmtId="0" xfId="0" applyAlignment="1" applyFont="1">
      <alignment horizontal="center" vertical="center"/>
    </xf>
    <xf borderId="0" fillId="0" fontId="3" numFmtId="164" xfId="0" applyAlignment="1" applyFont="1" applyNumberFormat="1">
      <alignment horizontal="center" vertical="center"/>
    </xf>
    <xf borderId="0" fillId="0" fontId="3" numFmtId="0" xfId="0" applyAlignment="1" applyFont="1">
      <alignment horizontal="center" readingOrder="0" vertical="center"/>
    </xf>
    <xf borderId="0" fillId="0" fontId="3" numFmtId="165" xfId="0" applyAlignment="1" applyFont="1" applyNumberFormat="1">
      <alignment readingOrder="0" vertical="center"/>
    </xf>
  </cellXfs>
  <cellStyles count="1">
    <cellStyle xfId="0" name="Normal" builtinId="0"/>
  </cellStyles>
  <dxfs count="6">
    <dxf>
      <font/>
      <fill>
        <patternFill patternType="none"/>
      </fill>
      <border/>
    </dxf>
    <dxf>
      <font/>
      <fill>
        <patternFill patternType="solid">
          <fgColor rgb="FF1155CC"/>
          <bgColor rgb="FF1155CC"/>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BDBDBD"/>
          <bgColor rgb="FFBDBDBD"/>
        </patternFill>
      </fill>
      <border/>
    </dxf>
    <dxf>
      <font/>
      <fill>
        <patternFill patternType="solid">
          <fgColor rgb="FFF3F3F3"/>
          <bgColor rgb="FFF3F3F3"/>
        </patternFill>
      </fill>
      <border/>
    </dxf>
  </dxfs>
  <tableStyles count="8">
    <tableStyle count="3" pivot="0" name="Piruja Ella OR La OR Ellas -fil-style">
      <tableStyleElement dxfId="1" type="headerRow"/>
      <tableStyleElement dxfId="2" type="firstRowStripe"/>
      <tableStyleElement dxfId="3" type="secondRowStripe"/>
    </tableStyle>
    <tableStyle count="3" pivot="0" name="C0jer Ella OR La OR Ellas -Ello-style">
      <tableStyleElement dxfId="1" type="headerRow"/>
      <tableStyleElement dxfId="2" type="firstRowStripe"/>
      <tableStyleElement dxfId="3" type="secondRowStripe"/>
    </tableStyle>
    <tableStyle count="3" pivot="0" name="Pvta Ella OR La OR Eres langes -style">
      <tableStyleElement dxfId="1" type="headerRow"/>
      <tableStyleElement dxfId="2" type="firstRowStripe"/>
      <tableStyleElement dxfId="3" type="secondRowStripe"/>
    </tableStyle>
    <tableStyle count="3" pivot="0" name="Eres Pvta langes -filterretweet-style">
      <tableStyleElement dxfId="1" type="headerRow"/>
      <tableStyleElement dxfId="2" type="firstRowStripe"/>
      <tableStyleElement dxfId="3" type="secondRowStripe"/>
    </tableStyle>
    <tableStyle count="3" pivot="0" name="Pvta langes -filterretweets -fi-style">
      <tableStyleElement dxfId="1" type="headerRow"/>
      <tableStyleElement dxfId="2" type="firstRowStripe"/>
      <tableStyleElement dxfId="3" type="secondRowStripe"/>
    </tableStyle>
    <tableStyle count="3" pivot="0" name="Cerda langes -filterretweets -f-style">
      <tableStyleElement dxfId="1" type="headerRow"/>
      <tableStyleElement dxfId="2" type="firstRowStripe"/>
      <tableStyleElement dxfId="3" type="secondRowStripe"/>
    </tableStyle>
    <tableStyle count="3" pivot="0" name="Payasa langes -filterretweets --style">
      <tableStyleElement dxfId="1" type="headerRow"/>
      <tableStyleElement dxfId="2" type="firstRowStripe"/>
      <tableStyleElement dxfId="3" type="secondRowStripe"/>
    </tableStyle>
    <tableStyle count="3" pivot="0" name="Twitter Archiver Logs-style">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1082"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Piruja Ella OR La OR Ellas -fil-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Z1003" display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0jer Ella OR La OR Ellas -Ello-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Z1100" displayName="Table_3" id="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Pvta Ella OR La OR Eres langes -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Z1038" displayName="Table_4" id="4">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res Pvta langes -filterretweet-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Z1100" displayName="Table_5" id="5">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Pvta langes -filterretweets -fi-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Z1100" displayName="Table_6" id="6">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erda langes -filterretweets -f-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1:Z1100" displayName="Table_7" id="7">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Payasa langes -filterretweets --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1:Z1000" displayName="Table_8" id="8">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Twitter Archiver Log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bs.twimg.com/media/EsQQnmGW4AIh_bj.jpg" TargetMode="External"/><Relationship Id="rId42" Type="http://schemas.openxmlformats.org/officeDocument/2006/relationships/hyperlink" Target="https://pbs.twimg.com/media/EsPFcpfUwAA-r5o.jpg" TargetMode="External"/><Relationship Id="rId41" Type="http://schemas.openxmlformats.org/officeDocument/2006/relationships/hyperlink" Target="https://danifasblog.wordpress.com" TargetMode="External"/><Relationship Id="rId44" Type="http://schemas.openxmlformats.org/officeDocument/2006/relationships/hyperlink" Target="https://pbs.twimg.com/media/EsOci_NXIAIO-d-.jpg" TargetMode="External"/><Relationship Id="rId43" Type="http://schemas.openxmlformats.org/officeDocument/2006/relationships/hyperlink" Target="https://twitter.com/eltiopi/status/1352093461894352898" TargetMode="External"/><Relationship Id="rId46" Type="http://schemas.openxmlformats.org/officeDocument/2006/relationships/hyperlink" Target="https://twitter.com/mejialupita_12/status/1351968527931072512" TargetMode="External"/><Relationship Id="rId45" Type="http://schemas.openxmlformats.org/officeDocument/2006/relationships/hyperlink" Target="https://pbs.twimg.com/media/EsNUPnnW4AkY_qA.jpg" TargetMode="External"/><Relationship Id="rId1" Type="http://schemas.openxmlformats.org/officeDocument/2006/relationships/hyperlink" Target="https://pbs.twimg.com/media/Esr6NZ7WMAEZpSC.jpg" TargetMode="External"/><Relationship Id="rId2" Type="http://schemas.openxmlformats.org/officeDocument/2006/relationships/hyperlink" Target="http://instagram.com/monsieurfedor" TargetMode="External"/><Relationship Id="rId3" Type="http://schemas.openxmlformats.org/officeDocument/2006/relationships/hyperlink" Target="https://instagram.com/avi_gdeo?igshid=6p5dcsxo579h" TargetMode="External"/><Relationship Id="rId4" Type="http://schemas.openxmlformats.org/officeDocument/2006/relationships/hyperlink" Target="https://pbs.twimg.com/media/EsnsM_lXUAghrNS.jpg" TargetMode="External"/><Relationship Id="rId9" Type="http://schemas.openxmlformats.org/officeDocument/2006/relationships/hyperlink" Target="https://www.bernardbullen.com" TargetMode="External"/><Relationship Id="rId48" Type="http://schemas.openxmlformats.org/officeDocument/2006/relationships/hyperlink" Target="http://instagram.com/kevinvalladares/" TargetMode="External"/><Relationship Id="rId47" Type="http://schemas.openxmlformats.org/officeDocument/2006/relationships/hyperlink" Target="https://pbs.twimg.com/media/EsMoNSRXIAM1gQ8.jpg" TargetMode="External"/><Relationship Id="rId49" Type="http://schemas.openxmlformats.org/officeDocument/2006/relationships/hyperlink" Target="https://twitter.com/_babyblood/status/1351969729339150340" TargetMode="External"/><Relationship Id="rId5" Type="http://schemas.openxmlformats.org/officeDocument/2006/relationships/hyperlink" Target="https://www.youtube.com/channel/UCL_ogSJkRqtbcGO8MWFJsBA" TargetMode="External"/><Relationship Id="rId6" Type="http://schemas.openxmlformats.org/officeDocument/2006/relationships/hyperlink" Target="https://twitter.com/ughcoo/status/1326766244381528064" TargetMode="External"/><Relationship Id="rId7" Type="http://schemas.openxmlformats.org/officeDocument/2006/relationships/hyperlink" Target="https://twitter.com/Stefanypowers/status/1350125725936996354" TargetMode="External"/><Relationship Id="rId8" Type="http://schemas.openxmlformats.org/officeDocument/2006/relationships/hyperlink" Target="http://pic.twitter.com/qfRqFgan0V" TargetMode="External"/><Relationship Id="rId31" Type="http://schemas.openxmlformats.org/officeDocument/2006/relationships/hyperlink" Target="https://pbs.twimg.com/media/EsTY7WdVoAIWStc.jpg" TargetMode="External"/><Relationship Id="rId30" Type="http://schemas.openxmlformats.org/officeDocument/2006/relationships/hyperlink" Target="https://go.squidapp.co/n/EDwwe3I" TargetMode="External"/><Relationship Id="rId33" Type="http://schemas.openxmlformats.org/officeDocument/2006/relationships/hyperlink" Target="https://twitter.com/SateliteAlerta/status/1352407646817533954" TargetMode="External"/><Relationship Id="rId32" Type="http://schemas.openxmlformats.org/officeDocument/2006/relationships/hyperlink" Target="http://popofs.wordpress.com" TargetMode="External"/><Relationship Id="rId35" Type="http://schemas.openxmlformats.org/officeDocument/2006/relationships/hyperlink" Target="https://instagram.com/laraponciox?igshid=y3sd5ns9k26n" TargetMode="External"/><Relationship Id="rId34" Type="http://schemas.openxmlformats.org/officeDocument/2006/relationships/hyperlink" Target="http://pic.twitter.com/fQb6uV1Qwl" TargetMode="External"/><Relationship Id="rId37" Type="http://schemas.openxmlformats.org/officeDocument/2006/relationships/hyperlink" Target="https://www.instagram.com/quinadelart/" TargetMode="External"/><Relationship Id="rId36" Type="http://schemas.openxmlformats.org/officeDocument/2006/relationships/hyperlink" Target="http://pic.twitter.com/3xy5Jgc3Bt" TargetMode="External"/><Relationship Id="rId39" Type="http://schemas.openxmlformats.org/officeDocument/2006/relationships/hyperlink" Target="https://twitter.com/jorgellopsuay/status/1352224071187111936" TargetMode="External"/><Relationship Id="rId38" Type="http://schemas.openxmlformats.org/officeDocument/2006/relationships/hyperlink" Target="https://curiouscat.qa/sinclairkordei" TargetMode="External"/><Relationship Id="rId62" Type="http://schemas.openxmlformats.org/officeDocument/2006/relationships/hyperlink" Target="https://pbs.twimg.com/media/EsENg5hXAAYdoQc.jpg" TargetMode="External"/><Relationship Id="rId61" Type="http://schemas.openxmlformats.org/officeDocument/2006/relationships/hyperlink" Target="https://pbs.twimg.com/media/EsHAp3SUwAIe449.jpg" TargetMode="External"/><Relationship Id="rId20" Type="http://schemas.openxmlformats.org/officeDocument/2006/relationships/hyperlink" Target="https://pbs.twimg.com/media/EsX_5hgW4AEGKKd.jpg" TargetMode="External"/><Relationship Id="rId64" Type="http://schemas.openxmlformats.org/officeDocument/2006/relationships/hyperlink" Target="http://pic.twitter.com/5RZlXSVHeR" TargetMode="External"/><Relationship Id="rId63" Type="http://schemas.openxmlformats.org/officeDocument/2006/relationships/hyperlink" Target="https://twitter.com/JuanCBQp/status/1351288150195392515" TargetMode="External"/><Relationship Id="rId22" Type="http://schemas.openxmlformats.org/officeDocument/2006/relationships/hyperlink" Target="https://www.instagram.com/ovs_030/" TargetMode="External"/><Relationship Id="rId21" Type="http://schemas.openxmlformats.org/officeDocument/2006/relationships/hyperlink" Target="https://www.sindicatoalma.es/guionista/borja-moreno-martinez-2/" TargetMode="External"/><Relationship Id="rId65" Type="http://schemas.openxmlformats.org/officeDocument/2006/relationships/drawing" Target="../drawings/drawing1.xml"/><Relationship Id="rId24" Type="http://schemas.openxmlformats.org/officeDocument/2006/relationships/hyperlink" Target="https://www.ivoox.com/p_sq_f1670754_1" TargetMode="External"/><Relationship Id="rId23" Type="http://schemas.openxmlformats.org/officeDocument/2006/relationships/hyperlink" Target="https://pbs.twimg.com/media/EsX-KztW8AAvZfH.jpg" TargetMode="External"/><Relationship Id="rId67" Type="http://schemas.openxmlformats.org/officeDocument/2006/relationships/table" Target="../tables/table1.xml"/><Relationship Id="rId60" Type="http://schemas.openxmlformats.org/officeDocument/2006/relationships/hyperlink" Target="https://pbs.twimg.com/media/EsHIedEW4AEM1RE.jpg" TargetMode="External"/><Relationship Id="rId26" Type="http://schemas.openxmlformats.org/officeDocument/2006/relationships/hyperlink" Target="https://boxd.it/jyOt" TargetMode="External"/><Relationship Id="rId25" Type="http://schemas.openxmlformats.org/officeDocument/2006/relationships/hyperlink" Target="https://pbs.twimg.com/media/EsXuQZSXMAUPGMo.jpg" TargetMode="External"/><Relationship Id="rId28" Type="http://schemas.openxmlformats.org/officeDocument/2006/relationships/hyperlink" Target="https://curiouscat.qa/_quilattesalv" TargetMode="External"/><Relationship Id="rId27" Type="http://schemas.openxmlformats.org/officeDocument/2006/relationships/hyperlink" Target="https://pbs.twimg.com/media/EsXV196W4AAnVXG.jpg" TargetMode="External"/><Relationship Id="rId29" Type="http://schemas.openxmlformats.org/officeDocument/2006/relationships/hyperlink" Target="https://instagram.com/akagamialex?igshid=k1o4v3wwi0yp" TargetMode="External"/><Relationship Id="rId51" Type="http://schemas.openxmlformats.org/officeDocument/2006/relationships/hyperlink" Target="https://youtube.com/channel/UC3hYGWo-bdDvUjO6YymbZCQ" TargetMode="External"/><Relationship Id="rId50" Type="http://schemas.openxmlformats.org/officeDocument/2006/relationships/hyperlink" Target="http://pic.twitter.com/oI0NmqeWQB" TargetMode="External"/><Relationship Id="rId53" Type="http://schemas.openxmlformats.org/officeDocument/2006/relationships/hyperlink" Target="https://twitter.com/IreneMontero/status/1351591516674916353" TargetMode="External"/><Relationship Id="rId52" Type="http://schemas.openxmlformats.org/officeDocument/2006/relationships/hyperlink" Target="https://pbs.twimg.com/media/EsLnugJXcAE-cgF.jpg" TargetMode="External"/><Relationship Id="rId11" Type="http://schemas.openxmlformats.org/officeDocument/2006/relationships/hyperlink" Target="https://pbs.twimg.com/media/EshArzJVcAENtbV.jpg" TargetMode="External"/><Relationship Id="rId55" Type="http://schemas.openxmlformats.org/officeDocument/2006/relationships/hyperlink" Target="https://twitter.com/Rackiminchy/status/1351730943376166912" TargetMode="External"/><Relationship Id="rId10" Type="http://schemas.openxmlformats.org/officeDocument/2006/relationships/hyperlink" Target="https://twitter.com/FERMARlA/status/1353402814051966977" TargetMode="External"/><Relationship Id="rId54" Type="http://schemas.openxmlformats.org/officeDocument/2006/relationships/hyperlink" Target="https://pbs.twimg.com/media/EsHRFV5WMAMltcW.jpg" TargetMode="External"/><Relationship Id="rId13" Type="http://schemas.openxmlformats.org/officeDocument/2006/relationships/hyperlink" Target="http://vsco.co/marigzzo" TargetMode="External"/><Relationship Id="rId57" Type="http://schemas.openxmlformats.org/officeDocument/2006/relationships/hyperlink" Target="https://pbs.twimg.com/media/EsCYOihXUAIKFbA.jpg" TargetMode="External"/><Relationship Id="rId12" Type="http://schemas.openxmlformats.org/officeDocument/2006/relationships/hyperlink" Target="https://youtu.be/hD4W1UktL9E" TargetMode="External"/><Relationship Id="rId56" Type="http://schemas.openxmlformats.org/officeDocument/2006/relationships/hyperlink" Target="https://twitter.com/Emilian0Diaz/status/1351247266472931328" TargetMode="External"/><Relationship Id="rId15" Type="http://schemas.openxmlformats.org/officeDocument/2006/relationships/hyperlink" Target="http://hose00k.carrd.co" TargetMode="External"/><Relationship Id="rId59" Type="http://schemas.openxmlformats.org/officeDocument/2006/relationships/hyperlink" Target="http://moongoddess.com" TargetMode="External"/><Relationship Id="rId14" Type="http://schemas.openxmlformats.org/officeDocument/2006/relationships/hyperlink" Target="https://curiouscat.qa/Itsafosfothing" TargetMode="External"/><Relationship Id="rId58" Type="http://schemas.openxmlformats.org/officeDocument/2006/relationships/hyperlink" Target="https://twitter.com/avionsinfrenos/status/1349511848077488129?s=21" TargetMode="External"/><Relationship Id="rId17" Type="http://schemas.openxmlformats.org/officeDocument/2006/relationships/hyperlink" Target="https://pbs.twimg.com/media/EscDOYFVEAAhvUL.jpg" TargetMode="External"/><Relationship Id="rId16" Type="http://schemas.openxmlformats.org/officeDocument/2006/relationships/hyperlink" Target="https://www.irlshintsukimi.xn--c5c" TargetMode="External"/><Relationship Id="rId19" Type="http://schemas.openxmlformats.org/officeDocument/2006/relationships/hyperlink" Target="https://www.instagram.com/__mineee1/" TargetMode="External"/><Relationship Id="rId18" Type="http://schemas.openxmlformats.org/officeDocument/2006/relationships/hyperlink" Target="http://instagram.com/guillo_con_n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namjoon.xn--l9h" TargetMode="External"/><Relationship Id="rId2" Type="http://schemas.openxmlformats.org/officeDocument/2006/relationships/hyperlink" Target="https://pbs.twimg.com/media/EsGAVnDWMAI6t8e.jpg" TargetMode="External"/><Relationship Id="rId3" Type="http://schemas.openxmlformats.org/officeDocument/2006/relationships/hyperlink" Target="http://instagram.com/vickyrivero8" TargetMode="External"/><Relationship Id="rId4" Type="http://schemas.openxmlformats.org/officeDocument/2006/relationships/drawing" Target="../drawings/drawing2.xml"/><Relationship Id="rId6" Type="http://schemas.openxmlformats.org/officeDocument/2006/relationships/table" Target="../tables/table2.xml"/></Relationships>
</file>

<file path=xl/worksheets/_rels/sheet3.xml.rels><?xml version="1.0" encoding="UTF-8" standalone="yes"?><Relationships xmlns="http://schemas.openxmlformats.org/package/2006/relationships"><Relationship Id="rId40" Type="http://schemas.openxmlformats.org/officeDocument/2006/relationships/hyperlink" Target="https://pbs.twimg.com/media/Eso-paTUcAMlwjg.jpg" TargetMode="External"/><Relationship Id="rId42" Type="http://schemas.openxmlformats.org/officeDocument/2006/relationships/hyperlink" Target="https://twitter.com/laChorroChapoy/status/1353946281991942144" TargetMode="External"/><Relationship Id="rId41" Type="http://schemas.openxmlformats.org/officeDocument/2006/relationships/hyperlink" Target="https://www.twitch.tv/polichiston" TargetMode="External"/><Relationship Id="rId44" Type="http://schemas.openxmlformats.org/officeDocument/2006/relationships/hyperlink" Target="https://pbs.twimg.com/media/Em-806CXcAASADT.jpg" TargetMode="External"/><Relationship Id="rId43" Type="http://schemas.openxmlformats.org/officeDocument/2006/relationships/hyperlink" Target="https://twitter.com/thetrulu/status/1328488034820624387" TargetMode="External"/><Relationship Id="rId46" Type="http://schemas.openxmlformats.org/officeDocument/2006/relationships/hyperlink" Target="https://twitter.com/paragonperez/status/1353313432150429696" TargetMode="External"/><Relationship Id="rId45" Type="http://schemas.openxmlformats.org/officeDocument/2006/relationships/hyperlink" Target="https://discord.gg/aYJMGNmk3W" TargetMode="External"/><Relationship Id="rId48" Type="http://schemas.openxmlformats.org/officeDocument/2006/relationships/hyperlink" Target="https://pbs.twimg.com/media/Esoc6x4XcAAHQgC.jpg" TargetMode="External"/><Relationship Id="rId47" Type="http://schemas.openxmlformats.org/officeDocument/2006/relationships/hyperlink" Target="https://pbs.twimg.com/media/EsfvYc7W8AAoIGc.jpg" TargetMode="External"/><Relationship Id="rId49" Type="http://schemas.openxmlformats.org/officeDocument/2006/relationships/hyperlink" Target="https://twitter.com/TiniStoessel/status/1353883040242487299" TargetMode="External"/><Relationship Id="rId101" Type="http://schemas.openxmlformats.org/officeDocument/2006/relationships/table" Target="../tables/table3.xml"/><Relationship Id="rId31" Type="http://schemas.openxmlformats.org/officeDocument/2006/relationships/hyperlink" Target="https://pbs.twimg.com/media/Esp37dTXEAEMVao.jpg" TargetMode="External"/><Relationship Id="rId30" Type="http://schemas.openxmlformats.org/officeDocument/2006/relationships/hyperlink" Target="http://instagram.com/mkkpxrez" TargetMode="External"/><Relationship Id="rId33" Type="http://schemas.openxmlformats.org/officeDocument/2006/relationships/hyperlink" Target="https://twitter.com/mediasetcom/status/1353991842086453249" TargetMode="External"/><Relationship Id="rId32" Type="http://schemas.openxmlformats.org/officeDocument/2006/relationships/hyperlink" Target="https://gab.com/Jangelfd" TargetMode="External"/><Relationship Id="rId35" Type="http://schemas.openxmlformats.org/officeDocument/2006/relationships/hyperlink" Target="https://twitter.com/lascosasvanbien/status/1353984729750638592" TargetMode="External"/><Relationship Id="rId34" Type="http://schemas.openxmlformats.org/officeDocument/2006/relationships/hyperlink" Target="http://pic.twitter.com/kpynlPoAW2" TargetMode="External"/><Relationship Id="rId37" Type="http://schemas.openxmlformats.org/officeDocument/2006/relationships/hyperlink" Target="https://pbs.twimg.com/media/EsfvYc7W8AAoIGc.jpg" TargetMode="External"/><Relationship Id="rId36" Type="http://schemas.openxmlformats.org/officeDocument/2006/relationships/hyperlink" Target="https://twitter.com/paragonperez/status/1353313432150429696" TargetMode="External"/><Relationship Id="rId39" Type="http://schemas.openxmlformats.org/officeDocument/2006/relationships/hyperlink" Target="https://pbs.twimg.com/media/Esiee6BXcAAEU8q.jpg" TargetMode="External"/><Relationship Id="rId38" Type="http://schemas.openxmlformats.org/officeDocument/2006/relationships/hyperlink" Target="https://twitter.com/NicolasMaduro/status/1353505944257388544" TargetMode="External"/><Relationship Id="rId20" Type="http://schemas.openxmlformats.org/officeDocument/2006/relationships/hyperlink" Target="https://twitter.com/DinaBousselham/status/1354046574339493888" TargetMode="External"/><Relationship Id="rId22" Type="http://schemas.openxmlformats.org/officeDocument/2006/relationships/hyperlink" Target="https://twitter.com/Aracuan_/status/1353778747829321728" TargetMode="External"/><Relationship Id="rId21" Type="http://schemas.openxmlformats.org/officeDocument/2006/relationships/hyperlink" Target="http://jaehyun.xn--yfh" TargetMode="External"/><Relationship Id="rId24" Type="http://schemas.openxmlformats.org/officeDocument/2006/relationships/hyperlink" Target="https://twitter.com/elmundoes/status/1354072354868101120" TargetMode="External"/><Relationship Id="rId23" Type="http://schemas.openxmlformats.org/officeDocument/2006/relationships/hyperlink" Target="https://got7andexo.xn--55h/" TargetMode="External"/><Relationship Id="rId26" Type="http://schemas.openxmlformats.org/officeDocument/2006/relationships/hyperlink" Target="https://www.twitlonger.com/show/n_1sr54fa?new_post=true" TargetMode="External"/><Relationship Id="rId25" Type="http://schemas.openxmlformats.org/officeDocument/2006/relationships/hyperlink" Target="http://pic.twitter.com/Bmd2Q9TkWI" TargetMode="External"/><Relationship Id="rId28" Type="http://schemas.openxmlformats.org/officeDocument/2006/relationships/hyperlink" Target="https://www.instagram.com/javier_craq/" TargetMode="External"/><Relationship Id="rId27" Type="http://schemas.openxmlformats.org/officeDocument/2006/relationships/hyperlink" Target="https://pbs.twimg.com/media/EsqISZoWMAAMswP.jpg" TargetMode="External"/><Relationship Id="rId29" Type="http://schemas.openxmlformats.org/officeDocument/2006/relationships/hyperlink" Target="http://pic.twitter.com/p3vaVXmqaH" TargetMode="External"/><Relationship Id="rId95" Type="http://schemas.openxmlformats.org/officeDocument/2006/relationships/hyperlink" Target="https://instagram.com/kellin.dakota?igshid=1rrni8ip94a1t" TargetMode="External"/><Relationship Id="rId94" Type="http://schemas.openxmlformats.org/officeDocument/2006/relationships/hyperlink" Target="https://pbs.twimg.com/media/EsmTTceXMAEJ8ck.jpg" TargetMode="External"/><Relationship Id="rId97" Type="http://schemas.openxmlformats.org/officeDocument/2006/relationships/hyperlink" Target="https://www.instagram.com/carlitosdeespana/" TargetMode="External"/><Relationship Id="rId96" Type="http://schemas.openxmlformats.org/officeDocument/2006/relationships/hyperlink" Target="https://twitter.com/gallifantes/status/1352765389059592192" TargetMode="External"/><Relationship Id="rId11" Type="http://schemas.openxmlformats.org/officeDocument/2006/relationships/hyperlink" Target="https://pbs.twimg.com/media/EsqqMeIXMAI40Pe.jpg" TargetMode="External"/><Relationship Id="rId99" Type="http://schemas.openxmlformats.org/officeDocument/2006/relationships/drawing" Target="../drawings/drawing3.xml"/><Relationship Id="rId10" Type="http://schemas.openxmlformats.org/officeDocument/2006/relationships/hyperlink" Target="https://twitter.com/ISayMamammooo/status/1354081796447744005" TargetMode="External"/><Relationship Id="rId98" Type="http://schemas.openxmlformats.org/officeDocument/2006/relationships/hyperlink" Target="https://twitter.com/leirecarasa_/status/1353742692556148741" TargetMode="External"/><Relationship Id="rId13" Type="http://schemas.openxmlformats.org/officeDocument/2006/relationships/hyperlink" Target="https://pbs.twimg.com/media/Esq-qvAXEAAVq-U.jpg" TargetMode="External"/><Relationship Id="rId12" Type="http://schemas.openxmlformats.org/officeDocument/2006/relationships/hyperlink" Target="https://twitter.com/BiyinUpdates" TargetMode="External"/><Relationship Id="rId91" Type="http://schemas.openxmlformats.org/officeDocument/2006/relationships/hyperlink" Target="https://youtu.be/GA99qX_JHWM" TargetMode="External"/><Relationship Id="rId90" Type="http://schemas.openxmlformats.org/officeDocument/2006/relationships/hyperlink" Target="http://instagram.com/owenbenp" TargetMode="External"/><Relationship Id="rId93" Type="http://schemas.openxmlformats.org/officeDocument/2006/relationships/hyperlink" Target="https://twitter.com/Merakiconf/status/1353775148290236417" TargetMode="External"/><Relationship Id="rId92" Type="http://schemas.openxmlformats.org/officeDocument/2006/relationships/hyperlink" Target="https://youtu.be/gcKhS7ly8ig" TargetMode="External"/><Relationship Id="rId15" Type="http://schemas.openxmlformats.org/officeDocument/2006/relationships/hyperlink" Target="https://pbs.twimg.com/media/EsqhNvfXMA0I48-.jpg" TargetMode="External"/><Relationship Id="rId14" Type="http://schemas.openxmlformats.org/officeDocument/2006/relationships/hyperlink" Target="https://twitter.com/IbaiLlanos/status/1354071902755680258" TargetMode="External"/><Relationship Id="rId17" Type="http://schemas.openxmlformats.org/officeDocument/2006/relationships/hyperlink" Target="https://youtu.be/aK4JSwhdcdE" TargetMode="External"/><Relationship Id="rId16" Type="http://schemas.openxmlformats.org/officeDocument/2006/relationships/hyperlink" Target="https://twitter.com/iLizie/status/1354101429204615175" TargetMode="External"/><Relationship Id="rId19" Type="http://schemas.openxmlformats.org/officeDocument/2006/relationships/hyperlink" Target="https://pbs.twimg.com/media/Esq7Y_sXYAAiYuo.jpg" TargetMode="External"/><Relationship Id="rId18" Type="http://schemas.openxmlformats.org/officeDocument/2006/relationships/hyperlink" Target="https://wheesa.xn--imb/" TargetMode="External"/><Relationship Id="rId84" Type="http://schemas.openxmlformats.org/officeDocument/2006/relationships/hyperlink" Target="https://pbs.twimg.com/media/EsmQ2__XYAARCzL.jpg" TargetMode="External"/><Relationship Id="rId83" Type="http://schemas.openxmlformats.org/officeDocument/2006/relationships/hyperlink" Target="https://twitter.com/somoskudasai/status/1353772439541575680" TargetMode="External"/><Relationship Id="rId86" Type="http://schemas.openxmlformats.org/officeDocument/2006/relationships/hyperlink" Target="https://pbs.twimg.com/media/EsmtYqhXUAM7csX.jpg" TargetMode="External"/><Relationship Id="rId85" Type="http://schemas.openxmlformats.org/officeDocument/2006/relationships/hyperlink" Target="https://instagram.com/sol_bg" TargetMode="External"/><Relationship Id="rId88" Type="http://schemas.openxmlformats.org/officeDocument/2006/relationships/hyperlink" Target="https://pbs.twimg.com/media/EsmtDltXYAAA47e.jpg" TargetMode="External"/><Relationship Id="rId87" Type="http://schemas.openxmlformats.org/officeDocument/2006/relationships/hyperlink" Target="https://instagram.com/sofiforpresident?igshid=p4k5jknug4ev" TargetMode="External"/><Relationship Id="rId89" Type="http://schemas.openxmlformats.org/officeDocument/2006/relationships/hyperlink" Target="https://pbs.twimg.com/media/EsmoMHbXUAAXUFX.jpg" TargetMode="External"/><Relationship Id="rId80" Type="http://schemas.openxmlformats.org/officeDocument/2006/relationships/hyperlink" Target="https://twitter.com/soyleidysalazar/status/1353784995962376192" TargetMode="External"/><Relationship Id="rId82" Type="http://schemas.openxmlformats.org/officeDocument/2006/relationships/hyperlink" Target="https://laliesposito.xn--6ii" TargetMode="External"/><Relationship Id="rId81" Type="http://schemas.openxmlformats.org/officeDocument/2006/relationships/hyperlink" Target="https://pbs.twimg.com/media/EsmcRlUUYAAdgSw.jpg" TargetMode="External"/><Relationship Id="rId1" Type="http://schemas.openxmlformats.org/officeDocument/2006/relationships/hyperlink" Target="https://twitter.com/churfer_rai/status/1354165155286941696" TargetMode="External"/><Relationship Id="rId2" Type="http://schemas.openxmlformats.org/officeDocument/2006/relationships/hyperlink" Target="https://pbs.twimg.com/media/Esr1_KNXYAAIhlI.jpg" TargetMode="External"/><Relationship Id="rId3" Type="http://schemas.openxmlformats.org/officeDocument/2006/relationships/hyperlink" Target="https://twitter.com/josepjulien/status/1354107038834585600" TargetMode="External"/><Relationship Id="rId4" Type="http://schemas.openxmlformats.org/officeDocument/2006/relationships/hyperlink" Target="http://pic.twitter.com/hBoiIxnFGR" TargetMode="External"/><Relationship Id="rId9" Type="http://schemas.openxmlformats.org/officeDocument/2006/relationships/hyperlink" Target="http://pic.twitter.com/lvEQKk64k4" TargetMode="External"/><Relationship Id="rId5" Type="http://schemas.openxmlformats.org/officeDocument/2006/relationships/hyperlink" Target="https://twitter.com/narxuto/status/1354148372165308417" TargetMode="External"/><Relationship Id="rId6" Type="http://schemas.openxmlformats.org/officeDocument/2006/relationships/hyperlink" Target="https://pbs.twimg.com/media/EsrmQIJXUAAIdA8.jpg" TargetMode="External"/><Relationship Id="rId7" Type="http://schemas.openxmlformats.org/officeDocument/2006/relationships/hyperlink" Target="http://www.twitch.tv/V4Nangel?sr=a" TargetMode="External"/><Relationship Id="rId8" Type="http://schemas.openxmlformats.org/officeDocument/2006/relationships/hyperlink" Target="https://twitter.com/LaFuriaRap/status/1212691744921403392" TargetMode="External"/><Relationship Id="rId73" Type="http://schemas.openxmlformats.org/officeDocument/2006/relationships/hyperlink" Target="http://bangtan.xn--c6h87e" TargetMode="External"/><Relationship Id="rId72" Type="http://schemas.openxmlformats.org/officeDocument/2006/relationships/hyperlink" Target="https://twitter.com/headlineplanet/status/1353810046988259329" TargetMode="External"/><Relationship Id="rId75" Type="http://schemas.openxmlformats.org/officeDocument/2006/relationships/hyperlink" Target="https://www.youtube.com/channel/UCxpwngQ3Mwg4vwoK4SMPiEw" TargetMode="External"/><Relationship Id="rId74" Type="http://schemas.openxmlformats.org/officeDocument/2006/relationships/hyperlink" Target="https://pbs.twimg.com/media/EsnJpIcXYAAOL3b.jpg" TargetMode="External"/><Relationship Id="rId77" Type="http://schemas.openxmlformats.org/officeDocument/2006/relationships/hyperlink" Target="https://pbs.twimg.com/media/EsmidGgXUAEqIqV.jpg" TargetMode="External"/><Relationship Id="rId76" Type="http://schemas.openxmlformats.org/officeDocument/2006/relationships/hyperlink" Target="https://twitter.com/porkestendencia/status/1353791787358429189" TargetMode="External"/><Relationship Id="rId79" Type="http://schemas.openxmlformats.org/officeDocument/2006/relationships/hyperlink" Target="https://twitter.com/MovistarFutbol/status/1353818222680829952" TargetMode="External"/><Relationship Id="rId78" Type="http://schemas.openxmlformats.org/officeDocument/2006/relationships/hyperlink" Target="https://youtube.com/c/Angel300LoquendoOficial" TargetMode="External"/><Relationship Id="rId71" Type="http://schemas.openxmlformats.org/officeDocument/2006/relationships/hyperlink" Target="https://pbs.twimg.com/media/EsnNRGXXYAA8jRq.jpg" TargetMode="External"/><Relationship Id="rId70" Type="http://schemas.openxmlformats.org/officeDocument/2006/relationships/hyperlink" Target="https://twitter.com/Nanisimo/status/1353838945889619968" TargetMode="External"/><Relationship Id="rId62" Type="http://schemas.openxmlformats.org/officeDocument/2006/relationships/hyperlink" Target="https://www.youtube.com/channel/UC1LiTfGNZiweSTu8_NFVi1g" TargetMode="External"/><Relationship Id="rId61" Type="http://schemas.openxmlformats.org/officeDocument/2006/relationships/hyperlink" Target="https://pbs.twimg.com/media/Esl_EN8VkAAlu1y.jpg" TargetMode="External"/><Relationship Id="rId64" Type="http://schemas.openxmlformats.org/officeDocument/2006/relationships/hyperlink" Target="https://pbs.twimg.com/media/EsioCfdXUAIXiTY.jpg" TargetMode="External"/><Relationship Id="rId63" Type="http://schemas.openxmlformats.org/officeDocument/2006/relationships/hyperlink" Target="https://twitter.com/leonardo__1989/status/1353516480806191104" TargetMode="External"/><Relationship Id="rId66" Type="http://schemas.openxmlformats.org/officeDocument/2006/relationships/hyperlink" Target="https://twitter.com/city_affairs/status/1353473103456854016" TargetMode="External"/><Relationship Id="rId65" Type="http://schemas.openxmlformats.org/officeDocument/2006/relationships/hyperlink" Target="https://www.instagram.com/rodrigoromerogg/" TargetMode="External"/><Relationship Id="rId68" Type="http://schemas.openxmlformats.org/officeDocument/2006/relationships/hyperlink" Target="https://twitter.com/remastered_soi/status/1353846274928365568" TargetMode="External"/><Relationship Id="rId67" Type="http://schemas.openxmlformats.org/officeDocument/2006/relationships/hyperlink" Target="http://pic.twitter.com/0FiXC1j3rA" TargetMode="External"/><Relationship Id="rId60" Type="http://schemas.openxmlformats.org/officeDocument/2006/relationships/hyperlink" Target="https://twitter.com/KONcharts/status/1353753075425497089" TargetMode="External"/><Relationship Id="rId69" Type="http://schemas.openxmlformats.org/officeDocument/2006/relationships/hyperlink" Target="https://instagram.com/sol_bg" TargetMode="External"/><Relationship Id="rId51" Type="http://schemas.openxmlformats.org/officeDocument/2006/relationships/hyperlink" Target="https://youtu.be/LGkUW5cUPz8" TargetMode="External"/><Relationship Id="rId50" Type="http://schemas.openxmlformats.org/officeDocument/2006/relationships/hyperlink" Target="https://pbs.twimg.com/media/Esn1crHVkAMHT-O.jpg" TargetMode="External"/><Relationship Id="rId53" Type="http://schemas.openxmlformats.org/officeDocument/2006/relationships/hyperlink" Target="https://pbs.twimg.com/media/EsoK48qW8AE6D6z.jpg" TargetMode="External"/><Relationship Id="rId52" Type="http://schemas.openxmlformats.org/officeDocument/2006/relationships/hyperlink" Target="https://my.w.tt/lRaev87nLab" TargetMode="External"/><Relationship Id="rId55" Type="http://schemas.openxmlformats.org/officeDocument/2006/relationships/hyperlink" Target="https://pbs.twimg.com/media/Esn-s6JXcAE6ORJ.jpg" TargetMode="External"/><Relationship Id="rId54" Type="http://schemas.openxmlformats.org/officeDocument/2006/relationships/hyperlink" Target="http://www.instagram.com/soy.eddgar" TargetMode="External"/><Relationship Id="rId57" Type="http://schemas.openxmlformats.org/officeDocument/2006/relationships/hyperlink" Target="https://pbs.twimg.com/media/EslOFu1W8AE6MvG.jpg" TargetMode="External"/><Relationship Id="rId56" Type="http://schemas.openxmlformats.org/officeDocument/2006/relationships/hyperlink" Target="https://twitter.com/SaintAvenger216/status/1353699050126766080" TargetMode="External"/><Relationship Id="rId59" Type="http://schemas.openxmlformats.org/officeDocument/2006/relationships/hyperlink" Target="https://pbs.twimg.com/media/EsnmSZ2W4AMSQZR.jpg" TargetMode="External"/><Relationship Id="rId58" Type="http://schemas.openxmlformats.org/officeDocument/2006/relationships/hyperlink" Target="https://www.instagram.com/daniel_andres11/" TargetMode="External"/></Relationships>
</file>

<file path=xl/worksheets/_rels/sheet4.xml.rels><?xml version="1.0" encoding="UTF-8" standalone="yes"?><Relationships xmlns="http://schemas.openxmlformats.org/package/2006/relationships"><Relationship Id="rId31" Type="http://schemas.openxmlformats.org/officeDocument/2006/relationships/hyperlink" Target="https://twitter.com/voidagust/status/1334319411495391232" TargetMode="External"/><Relationship Id="rId30" Type="http://schemas.openxmlformats.org/officeDocument/2006/relationships/hyperlink" Target="https://twitter.com/rogelio7funes/status/1352065097225568257" TargetMode="External"/><Relationship Id="rId33" Type="http://schemas.openxmlformats.org/officeDocument/2006/relationships/hyperlink" Target="https://hyunjin.xn--c6h/" TargetMode="External"/><Relationship Id="rId32" Type="http://schemas.openxmlformats.org/officeDocument/2006/relationships/hyperlink" Target="https://pbs.twimg.com/media/EoR0Z8TWMAIbVTo.jpg" TargetMode="External"/><Relationship Id="rId34" Type="http://schemas.openxmlformats.org/officeDocument/2006/relationships/drawing" Target="../drawings/drawing4.xml"/><Relationship Id="rId36" Type="http://schemas.openxmlformats.org/officeDocument/2006/relationships/table" Target="../tables/table4.xml"/><Relationship Id="rId20" Type="http://schemas.openxmlformats.org/officeDocument/2006/relationships/hyperlink" Target="http://bbasjtr.xn--c6h/" TargetMode="External"/><Relationship Id="rId22" Type="http://schemas.openxmlformats.org/officeDocument/2006/relationships/hyperlink" Target="https://youtu.be/fv1toOv2M1M" TargetMode="External"/><Relationship Id="rId21" Type="http://schemas.openxmlformats.org/officeDocument/2006/relationships/hyperlink" Target="https://twitter.com/DebRyanShow/status/1352742958777286656" TargetMode="External"/><Relationship Id="rId24" Type="http://schemas.openxmlformats.org/officeDocument/2006/relationships/hyperlink" Target="http://instagram.com/lolaam02" TargetMode="External"/><Relationship Id="rId23" Type="http://schemas.openxmlformats.org/officeDocument/2006/relationships/hyperlink" Target="https://twitter.com/DebRyanShow/status/1352742958777286656" TargetMode="External"/><Relationship Id="rId26" Type="http://schemas.openxmlformats.org/officeDocument/2006/relationships/hyperlink" Target="https://twitter.com/_vicenteserrano/status/1352320459715485696" TargetMode="External"/><Relationship Id="rId25" Type="http://schemas.openxmlformats.org/officeDocument/2006/relationships/hyperlink" Target="http://instagram.com/lolaam02" TargetMode="External"/><Relationship Id="rId28" Type="http://schemas.openxmlformats.org/officeDocument/2006/relationships/hyperlink" Target="https://twitter.com/Tonicanto1/status/1351873059360280577" TargetMode="External"/><Relationship Id="rId27" Type="http://schemas.openxmlformats.org/officeDocument/2006/relationships/hyperlink" Target="https://pbs.twimg.com/media/EsRvz8aXMAALgX-.jpg" TargetMode="External"/><Relationship Id="rId29" Type="http://schemas.openxmlformats.org/officeDocument/2006/relationships/hyperlink" Target="http://pic.twitter.com/5vlZRxToFH" TargetMode="External"/><Relationship Id="rId11" Type="http://schemas.openxmlformats.org/officeDocument/2006/relationships/hyperlink" Target="http://pic.twitter.com/fLObufJPJf" TargetMode="External"/><Relationship Id="rId10" Type="http://schemas.openxmlformats.org/officeDocument/2006/relationships/hyperlink" Target="https://pbs.twimg.com/media/Esh0INwWMAAezuQ.jpg" TargetMode="External"/><Relationship Id="rId13" Type="http://schemas.openxmlformats.org/officeDocument/2006/relationships/hyperlink" Target="https://taekook.xn--ytc/" TargetMode="External"/><Relationship Id="rId12" Type="http://schemas.openxmlformats.org/officeDocument/2006/relationships/hyperlink" Target="https://curiouscat.qa/kooktev/post/1177261470" TargetMode="External"/><Relationship Id="rId15" Type="http://schemas.openxmlformats.org/officeDocument/2006/relationships/hyperlink" Target="https://pbs.twimg.com/media/EsbjewmW8AUa4rw.jpg" TargetMode="External"/><Relationship Id="rId14" Type="http://schemas.openxmlformats.org/officeDocument/2006/relationships/hyperlink" Target="https://twitter.com/J_Zaragoza_/status/1352883811403628544" TargetMode="External"/><Relationship Id="rId17" Type="http://schemas.openxmlformats.org/officeDocument/2006/relationships/hyperlink" Target="https://www.instagram.com/nahlluli?r=nametag" TargetMode="External"/><Relationship Id="rId16" Type="http://schemas.openxmlformats.org/officeDocument/2006/relationships/hyperlink" Target="http://instagram.com/zairix_" TargetMode="External"/><Relationship Id="rId19" Type="http://schemas.openxmlformats.org/officeDocument/2006/relationships/hyperlink" Target="http://pic.twitter.com/gCUVUbv6j6" TargetMode="External"/><Relationship Id="rId18" Type="http://schemas.openxmlformats.org/officeDocument/2006/relationships/hyperlink" Target="https://twitter.com/DebRyanShow/status/1352742958777286656" TargetMode="External"/><Relationship Id="rId1" Type="http://schemas.openxmlformats.org/officeDocument/2006/relationships/hyperlink" Target="https://twitter.com/LaFuriaRap/status/1212691744921403392" TargetMode="External"/><Relationship Id="rId2" Type="http://schemas.openxmlformats.org/officeDocument/2006/relationships/hyperlink" Target="http://pic.twitter.com/lvEQKk64k4" TargetMode="External"/><Relationship Id="rId3" Type="http://schemas.openxmlformats.org/officeDocument/2006/relationships/hyperlink" Target="https://twitter.com/Aracuan_/status/1353778747829321728" TargetMode="External"/><Relationship Id="rId4" Type="http://schemas.openxmlformats.org/officeDocument/2006/relationships/hyperlink" Target="https://twitter.com/paragonperez/status/1353313432150429696" TargetMode="External"/><Relationship Id="rId9" Type="http://schemas.openxmlformats.org/officeDocument/2006/relationships/hyperlink" Target="https://twitter.com/luciaa1122/status/1353459375512444929" TargetMode="External"/><Relationship Id="rId5" Type="http://schemas.openxmlformats.org/officeDocument/2006/relationships/hyperlink" Target="https://pbs.twimg.com/media/EsfvYc7W8AAoIGc.jpg" TargetMode="External"/><Relationship Id="rId6" Type="http://schemas.openxmlformats.org/officeDocument/2006/relationships/hyperlink" Target="https://twitter.com/laChorroChapoy/status/1353946281991942144" TargetMode="External"/><Relationship Id="rId7" Type="http://schemas.openxmlformats.org/officeDocument/2006/relationships/hyperlink" Target="http://www.instagram.com/soy.eddgar" TargetMode="External"/><Relationship Id="rId8" Type="http://schemas.openxmlformats.org/officeDocument/2006/relationships/hyperlink" Target="https://twitter.com/MovistarFutbol/status/135381822268082995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twitter.com/ISayMamammooo/status/1354081796447744005" TargetMode="External"/><Relationship Id="rId42" Type="http://schemas.openxmlformats.org/officeDocument/2006/relationships/hyperlink" Target="https://twitter.com/BiyinUpdates" TargetMode="External"/><Relationship Id="rId41" Type="http://schemas.openxmlformats.org/officeDocument/2006/relationships/hyperlink" Target="https://pbs.twimg.com/media/EsqqMeIXMAI40Pe.jpg" TargetMode="External"/><Relationship Id="rId44" Type="http://schemas.openxmlformats.org/officeDocument/2006/relationships/hyperlink" Target="https://twitter.com/IbaiLlanos/status/1354071902755680258" TargetMode="External"/><Relationship Id="rId43" Type="http://schemas.openxmlformats.org/officeDocument/2006/relationships/hyperlink" Target="https://pbs.twimg.com/media/Esq-qvAXEAAVq-U.jpg" TargetMode="External"/><Relationship Id="rId46" Type="http://schemas.openxmlformats.org/officeDocument/2006/relationships/hyperlink" Target="https://twitter.com/iLizie/status/1354101429204615175" TargetMode="External"/><Relationship Id="rId45" Type="http://schemas.openxmlformats.org/officeDocument/2006/relationships/hyperlink" Target="https://pbs.twimg.com/media/EsqhNvfXMA0I48-.jpg" TargetMode="External"/><Relationship Id="rId48" Type="http://schemas.openxmlformats.org/officeDocument/2006/relationships/hyperlink" Target="https://wheesa.xn--imb/" TargetMode="External"/><Relationship Id="rId47" Type="http://schemas.openxmlformats.org/officeDocument/2006/relationships/hyperlink" Target="https://youtu.be/aK4JSwhdcdE" TargetMode="External"/><Relationship Id="rId49" Type="http://schemas.openxmlformats.org/officeDocument/2006/relationships/hyperlink" Target="https://pbs.twimg.com/media/Esq7Y_sXYAAiYuo.jpg" TargetMode="External"/><Relationship Id="rId31" Type="http://schemas.openxmlformats.org/officeDocument/2006/relationships/hyperlink" Target="https://twitter.com/IgualdadGob/status/1354015306667143171" TargetMode="External"/><Relationship Id="rId30" Type="http://schemas.openxmlformats.org/officeDocument/2006/relationships/hyperlink" Target="https://pbs.twimg.com/media/EsrMXA8W8AEEvbO.jpg" TargetMode="External"/><Relationship Id="rId33" Type="http://schemas.openxmlformats.org/officeDocument/2006/relationships/hyperlink" Target="http://www.twitch.tv/V4Nangel?sr=a" TargetMode="External"/><Relationship Id="rId32" Type="http://schemas.openxmlformats.org/officeDocument/2006/relationships/hyperlink" Target="http://camillaluddington.xn--9e8d/" TargetMode="External"/><Relationship Id="rId35" Type="http://schemas.openxmlformats.org/officeDocument/2006/relationships/hyperlink" Target="https://twitter.com/LaFuriaRap/status/1212691744921403392" TargetMode="External"/><Relationship Id="rId34" Type="http://schemas.openxmlformats.org/officeDocument/2006/relationships/hyperlink" Target="https://open.spotify.com/track/1VQTA3jeKZ9ul94xroHmbz?si=QTu8BsOvQeWPk3a3Q352vw" TargetMode="External"/><Relationship Id="rId37" Type="http://schemas.openxmlformats.org/officeDocument/2006/relationships/hyperlink" Target="https://twitter.com/elchiringuitotv/status/1354077174551207936" TargetMode="External"/><Relationship Id="rId36" Type="http://schemas.openxmlformats.org/officeDocument/2006/relationships/hyperlink" Target="http://pic.twitter.com/lvEQKk64k4" TargetMode="External"/><Relationship Id="rId39" Type="http://schemas.openxmlformats.org/officeDocument/2006/relationships/hyperlink" Target="https://pbs.twimg.com/media/EsrDH3bW8AEvwYf.jpg" TargetMode="External"/><Relationship Id="rId38" Type="http://schemas.openxmlformats.org/officeDocument/2006/relationships/hyperlink" Target="http://pic.twitter.com/Yvm4kaRRKo" TargetMode="External"/><Relationship Id="rId20" Type="http://schemas.openxmlformats.org/officeDocument/2006/relationships/hyperlink" Target="https://isasouza.xn--5ci" TargetMode="External"/><Relationship Id="rId22" Type="http://schemas.openxmlformats.org/officeDocument/2006/relationships/hyperlink" Target="https://twitter.com/violeurtizberea/status/1266565552711106561?s=19" TargetMode="External"/><Relationship Id="rId21" Type="http://schemas.openxmlformats.org/officeDocument/2006/relationships/hyperlink" Target="http://instagram.com/berlysvera" TargetMode="External"/><Relationship Id="rId24" Type="http://schemas.openxmlformats.org/officeDocument/2006/relationships/hyperlink" Target="https://nanilyn.carrd.co/" TargetMode="External"/><Relationship Id="rId23" Type="http://schemas.openxmlformats.org/officeDocument/2006/relationships/hyperlink" Target="http://dreamkillerlies.blogspot.com/" TargetMode="External"/><Relationship Id="rId26" Type="http://schemas.openxmlformats.org/officeDocument/2006/relationships/hyperlink" Target="http://momocasateconmigopls.com" TargetMode="External"/><Relationship Id="rId25" Type="http://schemas.openxmlformats.org/officeDocument/2006/relationships/hyperlink" Target="https://twitter.com/AdrianBelaza/status/1354111656733929474" TargetMode="External"/><Relationship Id="rId28" Type="http://schemas.openxmlformats.org/officeDocument/2006/relationships/hyperlink" Target="https://twitter.com/Manhattanplanet/status/1354120530366967808" TargetMode="External"/><Relationship Id="rId27" Type="http://schemas.openxmlformats.org/officeDocument/2006/relationships/hyperlink" Target="https://www.instagram.com/ferpintos_19/?hl=es-la" TargetMode="External"/><Relationship Id="rId29" Type="http://schemas.openxmlformats.org/officeDocument/2006/relationships/hyperlink" Target="https://xn--nmq0yj90q.xn--8h8h/" TargetMode="External"/><Relationship Id="rId95" Type="http://schemas.openxmlformats.org/officeDocument/2006/relationships/table" Target="../tables/table5.xml"/><Relationship Id="rId11" Type="http://schemas.openxmlformats.org/officeDocument/2006/relationships/hyperlink" Target="http://pic.twitter.com/vnkeQyQLGU" TargetMode="External"/><Relationship Id="rId10" Type="http://schemas.openxmlformats.org/officeDocument/2006/relationships/hyperlink" Target="https://twitter.com/jonjuanma/status/1354062293454254080" TargetMode="External"/><Relationship Id="rId13" Type="http://schemas.openxmlformats.org/officeDocument/2006/relationships/hyperlink" Target="https://pbs.twimg.com/media/EsrmQIJXUAAIdA8.jpg" TargetMode="External"/><Relationship Id="rId12" Type="http://schemas.openxmlformats.org/officeDocument/2006/relationships/hyperlink" Target="https://twitter.com/narxuto/status/1354148372165308417" TargetMode="External"/><Relationship Id="rId91" Type="http://schemas.openxmlformats.org/officeDocument/2006/relationships/hyperlink" Target="http://pic.twitter.com/kpynlPoAW2" TargetMode="External"/><Relationship Id="rId90" Type="http://schemas.openxmlformats.org/officeDocument/2006/relationships/hyperlink" Target="https://okdiario.com/espana/psoe-ya-tiene-nueva-cruz-diana-memoria-historica-quiere-demoler-brozas-6737873" TargetMode="External"/><Relationship Id="rId93" Type="http://schemas.openxmlformats.org/officeDocument/2006/relationships/drawing" Target="../drawings/drawing5.xml"/><Relationship Id="rId92" Type="http://schemas.openxmlformats.org/officeDocument/2006/relationships/hyperlink" Target="https://twitter.com/lascosasvanbien/status/1353984729750638592" TargetMode="External"/><Relationship Id="rId15" Type="http://schemas.openxmlformats.org/officeDocument/2006/relationships/hyperlink" Target="https://twitter.com/guajesalvaje/status/1354125534356238337" TargetMode="External"/><Relationship Id="rId14" Type="http://schemas.openxmlformats.org/officeDocument/2006/relationships/hyperlink" Target="https://pbs.twimg.com/media/EsrLDbEXYAAG4vd.jpg" TargetMode="External"/><Relationship Id="rId17" Type="http://schemas.openxmlformats.org/officeDocument/2006/relationships/hyperlink" Target="http://pic.twitter.com/AA1txhYSqt" TargetMode="External"/><Relationship Id="rId16" Type="http://schemas.openxmlformats.org/officeDocument/2006/relationships/hyperlink" Target="https://twitter.com/crazyredhair1/status/1354043228866146305" TargetMode="External"/><Relationship Id="rId19" Type="http://schemas.openxmlformats.org/officeDocument/2006/relationships/hyperlink" Target="https://curiouscat.qa/Azaamaranto/post/1178128171" TargetMode="External"/><Relationship Id="rId18" Type="http://schemas.openxmlformats.org/officeDocument/2006/relationships/hyperlink" Target="https://open.spotify.com/track/1D4PL9B8gOg78jiHg3FvBb?si=wQhvxc68RSCIuvo6Uxtoag" TargetMode="External"/><Relationship Id="rId84" Type="http://schemas.openxmlformats.org/officeDocument/2006/relationships/hyperlink" Target="https://www.instagram.com/javier_craq/" TargetMode="External"/><Relationship Id="rId83" Type="http://schemas.openxmlformats.org/officeDocument/2006/relationships/hyperlink" Target="https://pbs.twimg.com/media/EspOumsWMAA8s0Z.jpg" TargetMode="External"/><Relationship Id="rId86" Type="http://schemas.openxmlformats.org/officeDocument/2006/relationships/hyperlink" Target="http://instagram.com/mkkpxrez" TargetMode="External"/><Relationship Id="rId85" Type="http://schemas.openxmlformats.org/officeDocument/2006/relationships/hyperlink" Target="http://pic.twitter.com/p3vaVXmqaH" TargetMode="External"/><Relationship Id="rId88" Type="http://schemas.openxmlformats.org/officeDocument/2006/relationships/hyperlink" Target="https://gab.com/Jangelfd" TargetMode="External"/><Relationship Id="rId87" Type="http://schemas.openxmlformats.org/officeDocument/2006/relationships/hyperlink" Target="https://pbs.twimg.com/media/Esp37dTXEAEMVao.jpg" TargetMode="External"/><Relationship Id="rId89" Type="http://schemas.openxmlformats.org/officeDocument/2006/relationships/hyperlink" Target="https://twitter.com/mediasetcom/status/1353991842086453249" TargetMode="External"/><Relationship Id="rId80" Type="http://schemas.openxmlformats.org/officeDocument/2006/relationships/hyperlink" Target="https://pbs.twimg.com/media/EspGs2_XcAAXPh0.jpg" TargetMode="External"/><Relationship Id="rId82" Type="http://schemas.openxmlformats.org/officeDocument/2006/relationships/hyperlink" Target="https://pbs.twimg.com/media/EsqISZoWMAAMswP.jpg" TargetMode="External"/><Relationship Id="rId81" Type="http://schemas.openxmlformats.org/officeDocument/2006/relationships/hyperlink" Target="https://www.twitlonger.com/show/n_1sr54fa?new_post=true" TargetMode="External"/><Relationship Id="rId1" Type="http://schemas.openxmlformats.org/officeDocument/2006/relationships/hyperlink" Target="https://twitter.com/SpicyVelitas/status/1354170929220382723" TargetMode="External"/><Relationship Id="rId2" Type="http://schemas.openxmlformats.org/officeDocument/2006/relationships/hyperlink" Target="https://pbs.twimg.com/media/Esr7SHrXEAIIzZF.jpg" TargetMode="External"/><Relationship Id="rId3" Type="http://schemas.openxmlformats.org/officeDocument/2006/relationships/hyperlink" Target="https://twitter.com/sergiovalent1n/status/1354113976934793217" TargetMode="External"/><Relationship Id="rId4" Type="http://schemas.openxmlformats.org/officeDocument/2006/relationships/hyperlink" Target="https://twitter.com/churfer_rai/status/1354165155286941696" TargetMode="External"/><Relationship Id="rId9" Type="http://schemas.openxmlformats.org/officeDocument/2006/relationships/hyperlink" Target="http://pic.twitter.com/hBoiIxnFGR" TargetMode="External"/><Relationship Id="rId5" Type="http://schemas.openxmlformats.org/officeDocument/2006/relationships/hyperlink" Target="https://pbs.twimg.com/media/Esr1_KNXYAAIhlI.jpg" TargetMode="External"/><Relationship Id="rId6" Type="http://schemas.openxmlformats.org/officeDocument/2006/relationships/hyperlink" Target="https://twitter.com/TXT_members/status/1301064971074170881" TargetMode="External"/><Relationship Id="rId7" Type="http://schemas.openxmlformats.org/officeDocument/2006/relationships/hyperlink" Target="https://pbs.twimg.com/media/Eg5PoMZUYAIZzvI.jpg" TargetMode="External"/><Relationship Id="rId8" Type="http://schemas.openxmlformats.org/officeDocument/2006/relationships/hyperlink" Target="https://twitter.com/josepjulien/status/1354107038834585600" TargetMode="External"/><Relationship Id="rId73" Type="http://schemas.openxmlformats.org/officeDocument/2006/relationships/hyperlink" Target="https://twitter.com/GeekRoomArg/status/1353896528310661120" TargetMode="External"/><Relationship Id="rId72" Type="http://schemas.openxmlformats.org/officeDocument/2006/relationships/hyperlink" Target="http://pic.twitter.com/Bmd2Q9TkWI" TargetMode="External"/><Relationship Id="rId75" Type="http://schemas.openxmlformats.org/officeDocument/2006/relationships/hyperlink" Target="https://pbs.twimg.com/media/EsqfuY8XMAAbeO6.jpg" TargetMode="External"/><Relationship Id="rId74" Type="http://schemas.openxmlformats.org/officeDocument/2006/relationships/hyperlink" Target="https://pbs.twimg.com/media/EsoBtmaXcAA6j-P.jpg" TargetMode="External"/><Relationship Id="rId77" Type="http://schemas.openxmlformats.org/officeDocument/2006/relationships/hyperlink" Target="https://twitter.com/paragonperez/status/1353313432150429696" TargetMode="External"/><Relationship Id="rId76" Type="http://schemas.openxmlformats.org/officeDocument/2006/relationships/hyperlink" Target="https://instagram.com/angelicaa_arce?igshid=129d2tkzq2ix" TargetMode="External"/><Relationship Id="rId79" Type="http://schemas.openxmlformats.org/officeDocument/2006/relationships/hyperlink" Target="https://twitter.com/Tonicanto1/status/1353972384991236096" TargetMode="External"/><Relationship Id="rId78" Type="http://schemas.openxmlformats.org/officeDocument/2006/relationships/hyperlink" Target="https://pbs.twimg.com/media/EsfvYc7W8AAoIGc.jpg" TargetMode="External"/><Relationship Id="rId71" Type="http://schemas.openxmlformats.org/officeDocument/2006/relationships/hyperlink" Target="https://twitter.com/elmundoes/status/1354072354868101120" TargetMode="External"/><Relationship Id="rId70" Type="http://schemas.openxmlformats.org/officeDocument/2006/relationships/hyperlink" Target="https://got7andexo.xn--55h/" TargetMode="External"/><Relationship Id="rId62" Type="http://schemas.openxmlformats.org/officeDocument/2006/relationships/hyperlink" Target="https://instagram.com/suriheartless?igshid=6spirpuxuy5s" TargetMode="External"/><Relationship Id="rId61" Type="http://schemas.openxmlformats.org/officeDocument/2006/relationships/hyperlink" Target="https://twitter.com/Pepo231_/status/1354092114452348929" TargetMode="External"/><Relationship Id="rId64" Type="http://schemas.openxmlformats.org/officeDocument/2006/relationships/hyperlink" Target="http://aureborn.xn--1ci/" TargetMode="External"/><Relationship Id="rId63" Type="http://schemas.openxmlformats.org/officeDocument/2006/relationships/hyperlink" Target="https://pbs.twimg.com/media/Esqy6CcXcAEVps0.jpg" TargetMode="External"/><Relationship Id="rId66" Type="http://schemas.openxmlformats.org/officeDocument/2006/relationships/hyperlink" Target="https://pbs.twimg.com/media/EsqJMrsXMAAk6TP.jpg" TargetMode="External"/><Relationship Id="rId65" Type="http://schemas.openxmlformats.org/officeDocument/2006/relationships/hyperlink" Target="https://twitter.com/EnLatitud25/status/1354045891737481217" TargetMode="External"/><Relationship Id="rId68" Type="http://schemas.openxmlformats.org/officeDocument/2006/relationships/hyperlink" Target="https://twitter.com/JuanNav56781811/status/1354013835888381952" TargetMode="External"/><Relationship Id="rId67" Type="http://schemas.openxmlformats.org/officeDocument/2006/relationships/hyperlink" Target="http://www.facebook.com/AleMiguell" TargetMode="External"/><Relationship Id="rId60" Type="http://schemas.openxmlformats.org/officeDocument/2006/relationships/hyperlink" Target="https://pbs.twimg.com/media/Esq0WlMW8AEVB3U.jpg" TargetMode="External"/><Relationship Id="rId69" Type="http://schemas.openxmlformats.org/officeDocument/2006/relationships/hyperlink" Target="http://pic.twitter.com/JSGqpK3FlP" TargetMode="External"/><Relationship Id="rId51" Type="http://schemas.openxmlformats.org/officeDocument/2006/relationships/hyperlink" Target="https://twitter.com/eilanswift/status/1354099786333511680" TargetMode="External"/><Relationship Id="rId50" Type="http://schemas.openxmlformats.org/officeDocument/2006/relationships/hyperlink" Target="https://twitter.com/DinaBousselham/status/1354046574339493888" TargetMode="External"/><Relationship Id="rId53" Type="http://schemas.openxmlformats.org/officeDocument/2006/relationships/hyperlink" Target="https://twitter.com/mateo9k/status/1353445903038820353" TargetMode="External"/><Relationship Id="rId52" Type="http://schemas.openxmlformats.org/officeDocument/2006/relationships/hyperlink" Target="https://pbs.twimg.com/media/Esq6k65XMAgGrf9.jpg" TargetMode="External"/><Relationship Id="rId55" Type="http://schemas.openxmlformats.org/officeDocument/2006/relationships/hyperlink" Target="https://www.instagram.com/tanylovexofi_/" TargetMode="External"/><Relationship Id="rId54" Type="http://schemas.openxmlformats.org/officeDocument/2006/relationships/hyperlink" Target="https://pbs.twimg.com/media/Eshn39-XcAATgyW.jpg" TargetMode="External"/><Relationship Id="rId57" Type="http://schemas.openxmlformats.org/officeDocument/2006/relationships/hyperlink" Target="http://hyejinsimp.carrd.co" TargetMode="External"/><Relationship Id="rId56" Type="http://schemas.openxmlformats.org/officeDocument/2006/relationships/hyperlink" Target="https://pbs.twimg.com/media/Esq3BxJXIAUsUJz.jpg" TargetMode="External"/><Relationship Id="rId59" Type="http://schemas.openxmlformats.org/officeDocument/2006/relationships/hyperlink" Target="https://twitter.com/Aracuan_/status/1353778747829321728" TargetMode="External"/><Relationship Id="rId58" Type="http://schemas.openxmlformats.org/officeDocument/2006/relationships/hyperlink" Target="http://jaehyun.xn--yfh"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pbs.twimg.com/media/Esr1dCsWMAAS20U.jpg" TargetMode="External"/><Relationship Id="rId42" Type="http://schemas.openxmlformats.org/officeDocument/2006/relationships/hyperlink" Target="https://twitter.com/94C0URAGE/status/1354088382633283585" TargetMode="External"/><Relationship Id="rId41" Type="http://schemas.openxmlformats.org/officeDocument/2006/relationships/hyperlink" Target="https://twitter.com/spinerau/status/1354162371615481859" TargetMode="External"/><Relationship Id="rId44" Type="http://schemas.openxmlformats.org/officeDocument/2006/relationships/hyperlink" Target="http://instagram.com/cristian.andr3s" TargetMode="External"/><Relationship Id="rId43" Type="http://schemas.openxmlformats.org/officeDocument/2006/relationships/hyperlink" Target="https://pbs.twimg.com/media/EsqwNEHXYAIA0by.jpg" TargetMode="External"/><Relationship Id="rId46" Type="http://schemas.openxmlformats.org/officeDocument/2006/relationships/hyperlink" Target="https://m.youtube.com/watch?v=LmNdyTkuT9Y&amp;list=OLAK5uy_mWDy1kNDxPJkUaZ33GQcf3Mvzxny5XuJc&amp;index=5" TargetMode="External"/><Relationship Id="rId45" Type="http://schemas.openxmlformats.org/officeDocument/2006/relationships/hyperlink" Target="http://onfans.com/alexxxporn1" TargetMode="External"/><Relationship Id="rId107" Type="http://schemas.openxmlformats.org/officeDocument/2006/relationships/hyperlink" Target="https://twitter.com/CynthiaGamboa14/status/1354101022759780353" TargetMode="External"/><Relationship Id="rId106" Type="http://schemas.openxmlformats.org/officeDocument/2006/relationships/hyperlink" Target="https://forms.gle/Ks4jqFRKpQRfyg3Y9" TargetMode="External"/><Relationship Id="rId105" Type="http://schemas.openxmlformats.org/officeDocument/2006/relationships/hyperlink" Target="http://pic.twitter.com/xxcvetgOR6" TargetMode="External"/><Relationship Id="rId104" Type="http://schemas.openxmlformats.org/officeDocument/2006/relationships/hyperlink" Target="https://pbs.twimg.com/media/Esrn7mAXIAEr-Eu.jpg" TargetMode="External"/><Relationship Id="rId109" Type="http://schemas.openxmlformats.org/officeDocument/2006/relationships/hyperlink" Target="https://pbs.twimg.com/media/EsnSe3wVEAAEZ33.png" TargetMode="External"/><Relationship Id="rId108" Type="http://schemas.openxmlformats.org/officeDocument/2006/relationships/hyperlink" Target="https://twitter.com/DonAman391/status/1353849060453621762" TargetMode="External"/><Relationship Id="rId48" Type="http://schemas.openxmlformats.org/officeDocument/2006/relationships/hyperlink" Target="https://pbs.twimg.com/media/EsrAS_GXMAEFv6E.jpg" TargetMode="External"/><Relationship Id="rId47" Type="http://schemas.openxmlformats.org/officeDocument/2006/relationships/hyperlink" Target="https://twitter.com/folkashe/status/1354106076371824644" TargetMode="External"/><Relationship Id="rId49" Type="http://schemas.openxmlformats.org/officeDocument/2006/relationships/hyperlink" Target="http://pic.twitter.com/4aXnTkVWmZ" TargetMode="External"/><Relationship Id="rId103" Type="http://schemas.openxmlformats.org/officeDocument/2006/relationships/hyperlink" Target="https://twitter.com/wav_carmen/status/1354149775373971457" TargetMode="External"/><Relationship Id="rId102" Type="http://schemas.openxmlformats.org/officeDocument/2006/relationships/hyperlink" Target="https://instagram.com/annaob29?igshid=1n2n672m8457j" TargetMode="External"/><Relationship Id="rId101" Type="http://schemas.openxmlformats.org/officeDocument/2006/relationships/hyperlink" Target="http://www.tele13radio.cl/" TargetMode="External"/><Relationship Id="rId100" Type="http://schemas.openxmlformats.org/officeDocument/2006/relationships/hyperlink" Target="https://pbs.twimg.com/media/Esqat2TXMAAjoDR.jpg" TargetMode="External"/><Relationship Id="rId31" Type="http://schemas.openxmlformats.org/officeDocument/2006/relationships/hyperlink" Target="http://pic.twitter.com/P5cuBmIZW4" TargetMode="External"/><Relationship Id="rId30" Type="http://schemas.openxmlformats.org/officeDocument/2006/relationships/hyperlink" Target="http://www.derecho.uc.cl/" TargetMode="External"/><Relationship Id="rId33" Type="http://schemas.openxmlformats.org/officeDocument/2006/relationships/hyperlink" Target="http://bit.ly/2Nu0h0u" TargetMode="External"/><Relationship Id="rId32" Type="http://schemas.openxmlformats.org/officeDocument/2006/relationships/hyperlink" Target="https://www.facebook.com/pablo.echenique/" TargetMode="External"/><Relationship Id="rId35" Type="http://schemas.openxmlformats.org/officeDocument/2006/relationships/hyperlink" Target="http://www.tele13radio.cl/" TargetMode="External"/><Relationship Id="rId34" Type="http://schemas.openxmlformats.org/officeDocument/2006/relationships/hyperlink" Target="https://pbs.twimg.com/media/Esqat2TXMAAjoDR.jpg" TargetMode="External"/><Relationship Id="rId37" Type="http://schemas.openxmlformats.org/officeDocument/2006/relationships/hyperlink" Target="https://www.facebook.com/fora.okupas.3" TargetMode="External"/><Relationship Id="rId36" Type="http://schemas.openxmlformats.org/officeDocument/2006/relationships/hyperlink" Target="https://pbs.twimg.com/media/Esr3T9TWMAA894w.jpg" TargetMode="External"/><Relationship Id="rId39" Type="http://schemas.openxmlformats.org/officeDocument/2006/relationships/hyperlink" Target="https://twitter.com/santiagomaje/status/1354164519329787904" TargetMode="External"/><Relationship Id="rId38" Type="http://schemas.openxmlformats.org/officeDocument/2006/relationships/hyperlink" Target="http://instagram.com/cristian.andr3s" TargetMode="External"/><Relationship Id="rId20" Type="http://schemas.openxmlformats.org/officeDocument/2006/relationships/hyperlink" Target="https://pbs.twimg.com/media/Esr7XaYXEAICPA6.jpg" TargetMode="External"/><Relationship Id="rId22" Type="http://schemas.openxmlformats.org/officeDocument/2006/relationships/hyperlink" Target="http://bit.ly/2Nu0h0u" TargetMode="External"/><Relationship Id="rId21" Type="http://schemas.openxmlformats.org/officeDocument/2006/relationships/hyperlink" Target="http://www.facebook.com/carlosvalenzuelaescare" TargetMode="External"/><Relationship Id="rId24" Type="http://schemas.openxmlformats.org/officeDocument/2006/relationships/hyperlink" Target="http://www.tele13radio.cl/" TargetMode="External"/><Relationship Id="rId23" Type="http://schemas.openxmlformats.org/officeDocument/2006/relationships/hyperlink" Target="https://pbs.twimg.com/media/EsqHmNSWMAE6u_P.png" TargetMode="External"/><Relationship Id="rId26" Type="http://schemas.openxmlformats.org/officeDocument/2006/relationships/hyperlink" Target="http://pic.twitter.com/Af3m0ZlTAv" TargetMode="External"/><Relationship Id="rId25" Type="http://schemas.openxmlformats.org/officeDocument/2006/relationships/hyperlink" Target="https://www.instagram.com/francs21/" TargetMode="External"/><Relationship Id="rId28" Type="http://schemas.openxmlformats.org/officeDocument/2006/relationships/hyperlink" Target="https://bit.ly/39kQpyP" TargetMode="External"/><Relationship Id="rId27" Type="http://schemas.openxmlformats.org/officeDocument/2006/relationships/hyperlink" Target="https://29062019.carrd.co/" TargetMode="External"/><Relationship Id="rId29" Type="http://schemas.openxmlformats.org/officeDocument/2006/relationships/hyperlink" Target="https://pbs.twimg.com/media/Esr55OpXMAAUj34.jpg" TargetMode="External"/><Relationship Id="rId95" Type="http://schemas.openxmlformats.org/officeDocument/2006/relationships/hyperlink" Target="http://a.msn.com/01/es-cl/BB1d70xU?ocid=st" TargetMode="External"/><Relationship Id="rId94" Type="http://schemas.openxmlformats.org/officeDocument/2006/relationships/hyperlink" Target="http://www.latercera.com" TargetMode="External"/><Relationship Id="rId97" Type="http://schemas.openxmlformats.org/officeDocument/2006/relationships/hyperlink" Target="https://wp.me/pbYIWq-3uH" TargetMode="External"/><Relationship Id="rId96" Type="http://schemas.openxmlformats.org/officeDocument/2006/relationships/hyperlink" Target="http://beauty-around.com/en/turkish-actors/item/1704-furkan-andic" TargetMode="External"/><Relationship Id="rId11" Type="http://schemas.openxmlformats.org/officeDocument/2006/relationships/hyperlink" Target="https://twitter.com/lopezdoriga/status/1354096346743992320" TargetMode="External"/><Relationship Id="rId99" Type="http://schemas.openxmlformats.org/officeDocument/2006/relationships/hyperlink" Target="http://bit.ly/2Nu0h0u" TargetMode="External"/><Relationship Id="rId10" Type="http://schemas.openxmlformats.org/officeDocument/2006/relationships/hyperlink" Target="https://instagram.com/dguerao?igshid=teunghg0rdtb" TargetMode="External"/><Relationship Id="rId98" Type="http://schemas.openxmlformats.org/officeDocument/2006/relationships/hyperlink" Target="http://www.veritascapitur.cl" TargetMode="External"/><Relationship Id="rId13" Type="http://schemas.openxmlformats.org/officeDocument/2006/relationships/hyperlink" Target="http://tele13radio.cl/envivo" TargetMode="External"/><Relationship Id="rId12" Type="http://schemas.openxmlformats.org/officeDocument/2006/relationships/hyperlink" Target="https://anilist.co/user/shivkamaru/" TargetMode="External"/><Relationship Id="rId91" Type="http://schemas.openxmlformats.org/officeDocument/2006/relationships/hyperlink" Target="http://theclinic.cl/" TargetMode="External"/><Relationship Id="rId90" Type="http://schemas.openxmlformats.org/officeDocument/2006/relationships/hyperlink" Target="https://www.chollosdiario.com" TargetMode="External"/><Relationship Id="rId93" Type="http://schemas.openxmlformats.org/officeDocument/2006/relationships/hyperlink" Target="https://pbs.twimg.com/media/Esqu3WMXMAADFIS.jpg" TargetMode="External"/><Relationship Id="rId92" Type="http://schemas.openxmlformats.org/officeDocument/2006/relationships/hyperlink" Target="https://bit.ly/2Ydvp6L" TargetMode="External"/><Relationship Id="rId117" Type="http://schemas.openxmlformats.org/officeDocument/2006/relationships/drawing" Target="../drawings/drawing6.xml"/><Relationship Id="rId116" Type="http://schemas.openxmlformats.org/officeDocument/2006/relationships/hyperlink" Target="http://economiayempresa.udp.cl/" TargetMode="External"/><Relationship Id="rId115" Type="http://schemas.openxmlformats.org/officeDocument/2006/relationships/hyperlink" Target="https://bit.ly/36fE8tw" TargetMode="External"/><Relationship Id="rId119" Type="http://schemas.openxmlformats.org/officeDocument/2006/relationships/table" Target="../tables/table6.xml"/><Relationship Id="rId15" Type="http://schemas.openxmlformats.org/officeDocument/2006/relationships/hyperlink" Target="http://www.tele13radio.cl/" TargetMode="External"/><Relationship Id="rId110" Type="http://schemas.openxmlformats.org/officeDocument/2006/relationships/hyperlink" Target="https://vsco.co/softnathss" TargetMode="External"/><Relationship Id="rId14" Type="http://schemas.openxmlformats.org/officeDocument/2006/relationships/hyperlink" Target="https://pbs.twimg.com/media/Esr-HAkWMAEdyZI.jpg" TargetMode="External"/><Relationship Id="rId17" Type="http://schemas.openxmlformats.org/officeDocument/2006/relationships/hyperlink" Target="https://pbs.twimg.com/media/Esr8xRBXIAU12Gj.jpg" TargetMode="External"/><Relationship Id="rId16" Type="http://schemas.openxmlformats.org/officeDocument/2006/relationships/hyperlink" Target="http://instagram.com/odontodpe" TargetMode="External"/><Relationship Id="rId19" Type="http://schemas.openxmlformats.org/officeDocument/2006/relationships/hyperlink" Target="https://www.elmostrador.cl/mercados/2021/01/26/nuevo-ministro-de-hacienda-rodrigo-cerda-ante-un-eventual-tercer-retiro-del-10-la-prioridad-es-la-reforma-de-las-pensiones/" TargetMode="External"/><Relationship Id="rId114" Type="http://schemas.openxmlformats.org/officeDocument/2006/relationships/hyperlink" Target="https://www.paypal.me/martalp" TargetMode="External"/><Relationship Id="rId18" Type="http://schemas.openxmlformats.org/officeDocument/2006/relationships/hyperlink" Target="https://curiouscat.qa/GemitaCarpetera/post/1178148772" TargetMode="External"/><Relationship Id="rId113" Type="http://schemas.openxmlformats.org/officeDocument/2006/relationships/hyperlink" Target="http://pic.twitter.com/sbCsDdAZBI" TargetMode="External"/><Relationship Id="rId112" Type="http://schemas.openxmlformats.org/officeDocument/2006/relationships/hyperlink" Target="http://www.maria-sanchez.es" TargetMode="External"/><Relationship Id="rId111" Type="http://schemas.openxmlformats.org/officeDocument/2006/relationships/hyperlink" Target="https://xn--almciga-jwa.es/jordi-pere-cerda-y-la-palabra-recossirar-una-atencion-al-territorio-y-a-todos-los-que-habitan" TargetMode="External"/><Relationship Id="rId84" Type="http://schemas.openxmlformats.org/officeDocument/2006/relationships/hyperlink" Target="https://redgol.cl/tendencias/Rodrigo-Cerda--Conoce-quien-es-el-nuevo-Ministro-de-Hacienda-que-reemplaza-a-Ignacio-Briones-20210126-0052.html" TargetMode="External"/><Relationship Id="rId83" Type="http://schemas.openxmlformats.org/officeDocument/2006/relationships/hyperlink" Target="https://twitter.com/cassieclare/status/1354137932500766731" TargetMode="External"/><Relationship Id="rId86" Type="http://schemas.openxmlformats.org/officeDocument/2006/relationships/hyperlink" Target="http://www.sexotube.eu" TargetMode="External"/><Relationship Id="rId85" Type="http://schemas.openxmlformats.org/officeDocument/2006/relationships/hyperlink" Target="https://www.ofertagratis.com/artesania-cerda-pijama-corto-single-jersey-snoopy-conjuntos-azul-a-5/" TargetMode="External"/><Relationship Id="rId88" Type="http://schemas.openxmlformats.org/officeDocument/2006/relationships/hyperlink" Target="http://www.pornogratis.name" TargetMode="External"/><Relationship Id="rId87" Type="http://schemas.openxmlformats.org/officeDocument/2006/relationships/hyperlink" Target="https://www.ofertagratis.com/artesania-cerda-pijama-corto-single-jersey-snoopy-conjuntos-azul-a-5/" TargetMode="External"/><Relationship Id="rId89" Type="http://schemas.openxmlformats.org/officeDocument/2006/relationships/hyperlink" Target="https://www.chollosdiario.com/producto/artesania-cerda-pijama-corto-single-jersey-snoopy-conjuntos-azul-a-2/" TargetMode="External"/><Relationship Id="rId80" Type="http://schemas.openxmlformats.org/officeDocument/2006/relationships/hyperlink" Target="http://pic.twitter.com/LUaDHVH7aU" TargetMode="External"/><Relationship Id="rId82" Type="http://schemas.openxmlformats.org/officeDocument/2006/relationships/hyperlink" Target="http://pic.twitter.com/K4yf63gLHc" TargetMode="External"/><Relationship Id="rId81" Type="http://schemas.openxmlformats.org/officeDocument/2006/relationships/hyperlink" Target="https://twitter.com/bruhmforever/status/1354039563191283713" TargetMode="External"/><Relationship Id="rId1" Type="http://schemas.openxmlformats.org/officeDocument/2006/relationships/hyperlink" Target="https://pbs.twimg.com/media/EssBLQHXYAEroWa.jpg" TargetMode="External"/><Relationship Id="rId2" Type="http://schemas.openxmlformats.org/officeDocument/2006/relationships/hyperlink" Target="http://bit.ly/36bWsn6" TargetMode="External"/><Relationship Id="rId3" Type="http://schemas.openxmlformats.org/officeDocument/2006/relationships/hyperlink" Target="https://pbs.twimg.com/media/EsqYRuBXMKAF5rc.jpg" TargetMode="External"/><Relationship Id="rId4" Type="http://schemas.openxmlformats.org/officeDocument/2006/relationships/hyperlink" Target="http://www.latercera.com" TargetMode="External"/><Relationship Id="rId9" Type="http://schemas.openxmlformats.org/officeDocument/2006/relationships/hyperlink" Target="http://rionegro.gov.ar/?temaTagID=31" TargetMode="External"/><Relationship Id="rId5" Type="http://schemas.openxmlformats.org/officeDocument/2006/relationships/hyperlink" Target="https://twitter.com/pelloque/status/1354048544618000386" TargetMode="External"/><Relationship Id="rId6" Type="http://schemas.openxmlformats.org/officeDocument/2006/relationships/hyperlink" Target="https://pbs.twimg.com/media/EsqL-OpW4AABJn3.jpg" TargetMode="External"/><Relationship Id="rId7" Type="http://schemas.openxmlformats.org/officeDocument/2006/relationships/hyperlink" Target="http://instagram.com/laurapxc" TargetMode="External"/><Relationship Id="rId8" Type="http://schemas.openxmlformats.org/officeDocument/2006/relationships/hyperlink" Target="https://pbs.twimg.com/media/EssACF0XUAIzoJ_.jpg" TargetMode="External"/><Relationship Id="rId73" Type="http://schemas.openxmlformats.org/officeDocument/2006/relationships/hyperlink" Target="http://pic.twitter.com/LUaDHVH7aU" TargetMode="External"/><Relationship Id="rId72" Type="http://schemas.openxmlformats.org/officeDocument/2006/relationships/hyperlink" Target="https://twitter.com/zormello/status/1354151168675614726" TargetMode="External"/><Relationship Id="rId75" Type="http://schemas.openxmlformats.org/officeDocument/2006/relationships/hyperlink" Target="https://twitter.com/zormello/status/1354151168675614726" TargetMode="External"/><Relationship Id="rId74" Type="http://schemas.openxmlformats.org/officeDocument/2006/relationships/hyperlink" Target="https://twitter.com/aljoba12/status/1354148625127976960" TargetMode="External"/><Relationship Id="rId77" Type="http://schemas.openxmlformats.org/officeDocument/2006/relationships/hyperlink" Target="https://twitter.com/zormello/status/1354151168675614726" TargetMode="External"/><Relationship Id="rId76" Type="http://schemas.openxmlformats.org/officeDocument/2006/relationships/hyperlink" Target="http://pic.twitter.com/LUaDHVH7aU" TargetMode="External"/><Relationship Id="rId79" Type="http://schemas.openxmlformats.org/officeDocument/2006/relationships/hyperlink" Target="https://twitter.com/zormello/status/1354151168675614726" TargetMode="External"/><Relationship Id="rId78" Type="http://schemas.openxmlformats.org/officeDocument/2006/relationships/hyperlink" Target="http://pic.twitter.com/LUaDHVH7aU" TargetMode="External"/><Relationship Id="rId71" Type="http://schemas.openxmlformats.org/officeDocument/2006/relationships/hyperlink" Target="http://www.tele13radio.cl/" TargetMode="External"/><Relationship Id="rId70" Type="http://schemas.openxmlformats.org/officeDocument/2006/relationships/hyperlink" Target="https://pbs.twimg.com/media/EsqHmNSWMAE6u_P.png" TargetMode="External"/><Relationship Id="rId62" Type="http://schemas.openxmlformats.org/officeDocument/2006/relationships/hyperlink" Target="http://bit.ly/2Nu0h0u" TargetMode="External"/><Relationship Id="rId61" Type="http://schemas.openxmlformats.org/officeDocument/2006/relationships/hyperlink" Target="https://open.spotify.com/album/3rxj1eHjamXQyJHLVPOpHm?si=VYUWjHLpQkelpPGjJjRtZA" TargetMode="External"/><Relationship Id="rId64" Type="http://schemas.openxmlformats.org/officeDocument/2006/relationships/hyperlink" Target="http://www.tele13radio.cl/" TargetMode="External"/><Relationship Id="rId63" Type="http://schemas.openxmlformats.org/officeDocument/2006/relationships/hyperlink" Target="https://pbs.twimg.com/media/EsqHEvTXAAIUVwm.jpg" TargetMode="External"/><Relationship Id="rId66" Type="http://schemas.openxmlformats.org/officeDocument/2006/relationships/hyperlink" Target="http://pic.twitter.com/mccxrpOTHo" TargetMode="External"/><Relationship Id="rId65" Type="http://schemas.openxmlformats.org/officeDocument/2006/relationships/hyperlink" Target="https://www.theclinic.cl/2021/01/26/rodrigo-cerda-y-su-primer-dia-como-ministro-de-hacienda-vuelvo-a-mi-casa-puedo-prometer-mucho-trabajo/" TargetMode="External"/><Relationship Id="rId68" Type="http://schemas.openxmlformats.org/officeDocument/2006/relationships/hyperlink" Target="http://www.radioportales.cl" TargetMode="External"/><Relationship Id="rId67" Type="http://schemas.openxmlformats.org/officeDocument/2006/relationships/hyperlink" Target="http://pic.twitter.com/DkDlZjL7NN" TargetMode="External"/><Relationship Id="rId60" Type="http://schemas.openxmlformats.org/officeDocument/2006/relationships/hyperlink" Target="http://pic.twitter.com/LUaDHVH7aU" TargetMode="External"/><Relationship Id="rId69" Type="http://schemas.openxmlformats.org/officeDocument/2006/relationships/hyperlink" Target="http://bit.ly/2Nu0h0u" TargetMode="External"/><Relationship Id="rId51" Type="http://schemas.openxmlformats.org/officeDocument/2006/relationships/hyperlink" Target="http://diarioestrategia.cl" TargetMode="External"/><Relationship Id="rId50" Type="http://schemas.openxmlformats.org/officeDocument/2006/relationships/hyperlink" Target="http://www.radioportales.cl" TargetMode="External"/><Relationship Id="rId53" Type="http://schemas.openxmlformats.org/officeDocument/2006/relationships/hyperlink" Target="http://www.diarioestrategia.cl" TargetMode="External"/><Relationship Id="rId52" Type="http://schemas.openxmlformats.org/officeDocument/2006/relationships/hyperlink" Target="http://www.diarioestrategia.cl/texto-diario/mostrar/2275398/nuevo-ministro-hacienda-salio-ignacio-briones-asumio-rodrigo-cerda-ex-director-codelco" TargetMode="External"/><Relationship Id="rId55" Type="http://schemas.openxmlformats.org/officeDocument/2006/relationships/hyperlink" Target="http://pic.twitter.com/LUaDHVH7aU" TargetMode="External"/><Relationship Id="rId54" Type="http://schemas.openxmlformats.org/officeDocument/2006/relationships/hyperlink" Target="https://twitter.com/zormello/status/1354151168675614726" TargetMode="External"/><Relationship Id="rId57" Type="http://schemas.openxmlformats.org/officeDocument/2006/relationships/hyperlink" Target="http://pic.twitter.com/LUaDHVH7aU" TargetMode="External"/><Relationship Id="rId56" Type="http://schemas.openxmlformats.org/officeDocument/2006/relationships/hyperlink" Target="https://twitter.com/zormello/status/1354151168675614726" TargetMode="External"/><Relationship Id="rId59" Type="http://schemas.openxmlformats.org/officeDocument/2006/relationships/hyperlink" Target="https://twitter.com/zormello/status/1354151168675614726" TargetMode="External"/><Relationship Id="rId58" Type="http://schemas.openxmlformats.org/officeDocument/2006/relationships/hyperlink" Target="http://instagram.com/cristian.andr3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rialjorge/status/1354131700532572160" TargetMode="External"/><Relationship Id="rId42" Type="http://schemas.openxmlformats.org/officeDocument/2006/relationships/hyperlink" Target="http://pic.twitter.com/z5DG0VGoC8" TargetMode="External"/><Relationship Id="rId41" Type="http://schemas.openxmlformats.org/officeDocument/2006/relationships/hyperlink" Target="https://pbs.twimg.com/media/EsrXmj6W4AU39SS.jpg" TargetMode="External"/><Relationship Id="rId44" Type="http://schemas.openxmlformats.org/officeDocument/2006/relationships/hyperlink" Target="https://twitter.com/nosoylaauut/status/1354142097834729473" TargetMode="External"/><Relationship Id="rId43" Type="http://schemas.openxmlformats.org/officeDocument/2006/relationships/hyperlink" Target="https://www.instagram.com/cafeenvenaxfa/" TargetMode="External"/><Relationship Id="rId46" Type="http://schemas.openxmlformats.org/officeDocument/2006/relationships/hyperlink" Target="https://twitter.com/gagamediadotnet/status/1354129584971796480" TargetMode="External"/><Relationship Id="rId45" Type="http://schemas.openxmlformats.org/officeDocument/2006/relationships/hyperlink" Target="http://instagram.com/aaroooatj__" TargetMode="External"/><Relationship Id="rId48" Type="http://schemas.openxmlformats.org/officeDocument/2006/relationships/hyperlink" Target="https://twitter.com/emmocampo0/status/1353904372229541888" TargetMode="External"/><Relationship Id="rId47" Type="http://schemas.openxmlformats.org/officeDocument/2006/relationships/hyperlink" Target="https://www.vinted.fr/member/34209170-carmentejada9" TargetMode="External"/><Relationship Id="rId49" Type="http://schemas.openxmlformats.org/officeDocument/2006/relationships/hyperlink" Target="http://pic.twitter.com/B3DCDiUh1K" TargetMode="External"/><Relationship Id="rId31" Type="http://schemas.openxmlformats.org/officeDocument/2006/relationships/hyperlink" Target="http://pic.twitter.com/laGxOvUf5y" TargetMode="External"/><Relationship Id="rId30" Type="http://schemas.openxmlformats.org/officeDocument/2006/relationships/hyperlink" Target="https://twitter.com/eledhmel/status/1353307543163043840" TargetMode="External"/><Relationship Id="rId33" Type="http://schemas.openxmlformats.org/officeDocument/2006/relationships/hyperlink" Target="https://twitter.com/alxxxcz/status/1354136408525598720" TargetMode="External"/><Relationship Id="rId32" Type="http://schemas.openxmlformats.org/officeDocument/2006/relationships/hyperlink" Target="https://www.instagram.com/p/CC_cw5UoeMa/?igshid=mj1d7h2sr9o" TargetMode="External"/><Relationship Id="rId35" Type="http://schemas.openxmlformats.org/officeDocument/2006/relationships/hyperlink" Target="https://pbs.twimg.com/media/EsrkW-wXYAAfKCR.jpg" TargetMode="External"/><Relationship Id="rId34" Type="http://schemas.openxmlformats.org/officeDocument/2006/relationships/hyperlink" Target="https://curiouscat.qa/noirphilm" TargetMode="External"/><Relationship Id="rId37" Type="http://schemas.openxmlformats.org/officeDocument/2006/relationships/hyperlink" Target="https://twitter.com/jjeongwk/status/1353737465127956480" TargetMode="External"/><Relationship Id="rId36" Type="http://schemas.openxmlformats.org/officeDocument/2006/relationships/hyperlink" Target="https://www.my-moon.xn--c5h/" TargetMode="External"/><Relationship Id="rId39" Type="http://schemas.openxmlformats.org/officeDocument/2006/relationships/hyperlink" Target="https://m.soundcloud.com/fransoyyo" TargetMode="External"/><Relationship Id="rId38" Type="http://schemas.openxmlformats.org/officeDocument/2006/relationships/hyperlink" Target="https://pbs.twimg.com/media/EsrjKePW8AAZRzI.jpg" TargetMode="External"/><Relationship Id="rId20" Type="http://schemas.openxmlformats.org/officeDocument/2006/relationships/hyperlink" Target="https://chonnasorn.xn--rr8h" TargetMode="External"/><Relationship Id="rId22" Type="http://schemas.openxmlformats.org/officeDocument/2006/relationships/hyperlink" Target="https://twitter.com/melibarron/status/1353926357605109761" TargetMode="External"/><Relationship Id="rId21" Type="http://schemas.openxmlformats.org/officeDocument/2006/relationships/hyperlink" Target="https://www.instagram.com/patriciamarchenaa/?hl=es" TargetMode="External"/><Relationship Id="rId24" Type="http://schemas.openxmlformats.org/officeDocument/2006/relationships/hyperlink" Target="http://instagram.com/aportelaxx" TargetMode="External"/><Relationship Id="rId23" Type="http://schemas.openxmlformats.org/officeDocument/2006/relationships/hyperlink" Target="https://pbs.twimg.com/media/Esoc2DcXMAETip7.jpg" TargetMode="External"/><Relationship Id="rId26" Type="http://schemas.openxmlformats.org/officeDocument/2006/relationships/hyperlink" Target="http://curiouscat.qa/payasa" TargetMode="External"/><Relationship Id="rId25" Type="http://schemas.openxmlformats.org/officeDocument/2006/relationships/hyperlink" Target="https://curiouscat.qa/payasa/post/1178127857" TargetMode="External"/><Relationship Id="rId28" Type="http://schemas.openxmlformats.org/officeDocument/2006/relationships/hyperlink" Target="https://pbs.twimg.com/media/EsnLxILXAAElQDB.jpg" TargetMode="External"/><Relationship Id="rId27" Type="http://schemas.openxmlformats.org/officeDocument/2006/relationships/hyperlink" Target="https://twitter.com/camifalcon_/status/1353837210479579137" TargetMode="External"/><Relationship Id="rId29" Type="http://schemas.openxmlformats.org/officeDocument/2006/relationships/hyperlink" Target="http://www.facebook.com/" TargetMode="External"/><Relationship Id="rId11" Type="http://schemas.openxmlformats.org/officeDocument/2006/relationships/hyperlink" Target="http://pic.twitter.com/oFmKNDXzpW" TargetMode="External"/><Relationship Id="rId10" Type="http://schemas.openxmlformats.org/officeDocument/2006/relationships/hyperlink" Target="https://twitter.com/TrapieLLo/status/1353893579895222272" TargetMode="External"/><Relationship Id="rId13" Type="http://schemas.openxmlformats.org/officeDocument/2006/relationships/hyperlink" Target="https://twitter.com/baby_sweetMochi/status/1344600755983024129?s=19" TargetMode="External"/><Relationship Id="rId12" Type="http://schemas.openxmlformats.org/officeDocument/2006/relationships/hyperlink" Target="https://twitter.com/baby_sweetMochi/status/1354161857234427904" TargetMode="External"/><Relationship Id="rId15" Type="http://schemas.openxmlformats.org/officeDocument/2006/relationships/hyperlink" Target="http://instagram.com/laurazzalez" TargetMode="External"/><Relationship Id="rId14" Type="http://schemas.openxmlformats.org/officeDocument/2006/relationships/hyperlink" Target="http://trovo.live/TochiTV" TargetMode="External"/><Relationship Id="rId17" Type="http://schemas.openxmlformats.org/officeDocument/2006/relationships/hyperlink" Target="https://twitter.com/dinabousselham/status/1354046574339493888" TargetMode="External"/><Relationship Id="rId16" Type="http://schemas.openxmlformats.org/officeDocument/2006/relationships/hyperlink" Target="http://muchas-auroras.tumblr.com/" TargetMode="External"/><Relationship Id="rId19" Type="http://schemas.openxmlformats.org/officeDocument/2006/relationships/hyperlink" Target="https://twitter.com/maricarmenvkas/status/1354139729961365504" TargetMode="External"/><Relationship Id="rId18" Type="http://schemas.openxmlformats.org/officeDocument/2006/relationships/hyperlink" Target="http://inhalerstuff.tumblr.com" TargetMode="External"/><Relationship Id="rId83" Type="http://schemas.openxmlformats.org/officeDocument/2006/relationships/table" Target="../tables/table7.xml"/><Relationship Id="rId80" Type="http://schemas.openxmlformats.org/officeDocument/2006/relationships/hyperlink" Target="https://soundcloud.com/mimisan15" TargetMode="External"/><Relationship Id="rId81" Type="http://schemas.openxmlformats.org/officeDocument/2006/relationships/drawing" Target="../drawings/drawing7.xml"/><Relationship Id="rId1" Type="http://schemas.openxmlformats.org/officeDocument/2006/relationships/hyperlink" Target="https://twitter.com/andreagnzalezz/status/1353474821376659458" TargetMode="External"/><Relationship Id="rId2" Type="http://schemas.openxmlformats.org/officeDocument/2006/relationships/hyperlink" Target="http://instagram.com/andreagonzalezz_" TargetMode="External"/><Relationship Id="rId3" Type="http://schemas.openxmlformats.org/officeDocument/2006/relationships/hyperlink" Target="https://twitter.com/bangtanvibessss/status/1354175187089055750" TargetMode="External"/><Relationship Id="rId4" Type="http://schemas.openxmlformats.org/officeDocument/2006/relationships/hyperlink" Target="http://pic.twitter.com/TF0PI2ZDfc" TargetMode="External"/><Relationship Id="rId9" Type="http://schemas.openxmlformats.org/officeDocument/2006/relationships/hyperlink" Target="https://twitter.com/BeatrizMC6/status/1354049060534165504" TargetMode="External"/><Relationship Id="rId5" Type="http://schemas.openxmlformats.org/officeDocument/2006/relationships/hyperlink" Target="http://instagram.com/pauuespinossa/" TargetMode="External"/><Relationship Id="rId6" Type="http://schemas.openxmlformats.org/officeDocument/2006/relationships/hyperlink" Target="https://instagram.com/pizzahacendado?igshid=kzm3drf38k84" TargetMode="External"/><Relationship Id="rId7" Type="http://schemas.openxmlformats.org/officeDocument/2006/relationships/hyperlink" Target="http://instagram.com/lusygeorge" TargetMode="External"/><Relationship Id="rId8" Type="http://schemas.openxmlformats.org/officeDocument/2006/relationships/hyperlink" Target="https://signorfalzone.carrd.co/" TargetMode="External"/><Relationship Id="rId73" Type="http://schemas.openxmlformats.org/officeDocument/2006/relationships/hyperlink" Target="https://youtu.be/xEeFrLSkMm8" TargetMode="External"/><Relationship Id="rId72" Type="http://schemas.openxmlformats.org/officeDocument/2006/relationships/hyperlink" Target="http://pic.twitter.com/4jHdQioRnc" TargetMode="External"/><Relationship Id="rId75" Type="http://schemas.openxmlformats.org/officeDocument/2006/relationships/hyperlink" Target="http://instagram.com/mireeeela16_" TargetMode="External"/><Relationship Id="rId74" Type="http://schemas.openxmlformats.org/officeDocument/2006/relationships/hyperlink" Target="https://twitter.com/nuriahp1394/status/1354131069650563072" TargetMode="External"/><Relationship Id="rId77" Type="http://schemas.openxmlformats.org/officeDocument/2006/relationships/hyperlink" Target="http://pic.twitter.com/govON32z3r" TargetMode="External"/><Relationship Id="rId76" Type="http://schemas.openxmlformats.org/officeDocument/2006/relationships/hyperlink" Target="https://twitter.com/risadenver/status/1354129811195785220" TargetMode="External"/><Relationship Id="rId79" Type="http://schemas.openxmlformats.org/officeDocument/2006/relationships/hyperlink" Target="https://pbs.twimg.com/media/EsrPN_AWMAEgok8.jpg" TargetMode="External"/><Relationship Id="rId78" Type="http://schemas.openxmlformats.org/officeDocument/2006/relationships/hyperlink" Target="https://twitter.com/V5labendeo/status/1354122483604054016" TargetMode="External"/><Relationship Id="rId71" Type="http://schemas.openxmlformats.org/officeDocument/2006/relationships/hyperlink" Target="http://instagram.com/kaculuquillam" TargetMode="External"/><Relationship Id="rId70" Type="http://schemas.openxmlformats.org/officeDocument/2006/relationships/hyperlink" Target="https://pbs.twimg.com/media/EsqnlxuW8AoBexf.jpg" TargetMode="External"/><Relationship Id="rId62" Type="http://schemas.openxmlformats.org/officeDocument/2006/relationships/hyperlink" Target="https://instagram.com/amayachulia?igshid=1szx69b1cw86h" TargetMode="External"/><Relationship Id="rId61" Type="http://schemas.openxmlformats.org/officeDocument/2006/relationships/hyperlink" Target="https://instagram.com/xxgxbrxxlx?igshid=1cqrcxyubwf7a" TargetMode="External"/><Relationship Id="rId64" Type="http://schemas.openxmlformats.org/officeDocument/2006/relationships/hyperlink" Target="http://pic.twitter.com/Xo0UtPTGGp" TargetMode="External"/><Relationship Id="rId63" Type="http://schemas.openxmlformats.org/officeDocument/2006/relationships/hyperlink" Target="https://twitter.com/LaHoraTVE/status/1353982864812109826" TargetMode="External"/><Relationship Id="rId66" Type="http://schemas.openxmlformats.org/officeDocument/2006/relationships/hyperlink" Target="https://www.instagram.com/juanchihernandz/" TargetMode="External"/><Relationship Id="rId65" Type="http://schemas.openxmlformats.org/officeDocument/2006/relationships/hyperlink" Target="http://pic.twitter.com/V840Ux4VDa" TargetMode="External"/><Relationship Id="rId68" Type="http://schemas.openxmlformats.org/officeDocument/2006/relationships/hyperlink" Target="https://www.instagram.com/ititas/" TargetMode="External"/><Relationship Id="rId67" Type="http://schemas.openxmlformats.org/officeDocument/2006/relationships/hyperlink" Target="http://pic.twitter.com/r5olTpeA0q" TargetMode="External"/><Relationship Id="rId60" Type="http://schemas.openxmlformats.org/officeDocument/2006/relationships/hyperlink" Target="https://twitter.com/marisella_joya/status/1354087370258264065" TargetMode="External"/><Relationship Id="rId69" Type="http://schemas.openxmlformats.org/officeDocument/2006/relationships/hyperlink" Target="https://twitter.com/Lennonbecqer/status/1354078914218438658" TargetMode="External"/><Relationship Id="rId51" Type="http://schemas.openxmlformats.org/officeDocument/2006/relationships/hyperlink" Target="https://twitter.com/solodigitalmark/status/1352995888134815745" TargetMode="External"/><Relationship Id="rId50" Type="http://schemas.openxmlformats.org/officeDocument/2006/relationships/hyperlink" Target="https://www.instagram.com/babyy_woman/?hl=es-la" TargetMode="External"/><Relationship Id="rId53" Type="http://schemas.openxmlformats.org/officeDocument/2006/relationships/hyperlink" Target="https://pbs.twimg.com/media/EsrdRodWMAYIeY6.jpg" TargetMode="External"/><Relationship Id="rId52" Type="http://schemas.openxmlformats.org/officeDocument/2006/relationships/hyperlink" Target="http://pic.twitter.com/t2PV1QSihL" TargetMode="External"/><Relationship Id="rId55" Type="http://schemas.openxmlformats.org/officeDocument/2006/relationships/hyperlink" Target="https://shethebrave28.carrd.co/" TargetMode="External"/><Relationship Id="rId54" Type="http://schemas.openxmlformats.org/officeDocument/2006/relationships/hyperlink" Target="https://twitter.com/Emchmi99/status/1354091679347843074" TargetMode="External"/><Relationship Id="rId57" Type="http://schemas.openxmlformats.org/officeDocument/2006/relationships/hyperlink" Target="https://pbs.twimg.com/media/EsrZfFPXAAMUNlp.png" TargetMode="External"/><Relationship Id="rId56" Type="http://schemas.openxmlformats.org/officeDocument/2006/relationships/hyperlink" Target="https://twitter.com/patgow/status/1354134049426694145" TargetMode="External"/><Relationship Id="rId59" Type="http://schemas.openxmlformats.org/officeDocument/2006/relationships/hyperlink" Target="https://pbs.twimg.com/media/EsqgiRaXEAUYPUW.jpg" TargetMode="External"/><Relationship Id="rId58" Type="http://schemas.openxmlformats.org/officeDocument/2006/relationships/hyperlink" Target="https://twitter.com/HeLeNaBuckarctt/status/1354071151614558210"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 width="15.86"/>
    <col customWidth="1" min="3" max="3" width="21.57"/>
    <col customWidth="1" min="4" max="4" width="43.0"/>
    <col customWidth="1" min="5" max="5" width="18.71"/>
    <col customWidth="1" min="6" max="6" width="21.57"/>
  </cols>
  <sheetData>
    <row r="1" ht="24.0" customHeight="1">
      <c r="A1" s="1"/>
      <c r="B1" s="2" t="s">
        <v>0</v>
      </c>
      <c r="C1" s="3"/>
      <c r="D1" s="3"/>
      <c r="E1" s="3"/>
      <c r="F1" s="3"/>
      <c r="G1" s="3"/>
      <c r="H1" s="3"/>
      <c r="I1" s="3"/>
      <c r="J1" s="3"/>
      <c r="K1" s="3"/>
      <c r="L1" s="4"/>
      <c r="M1" s="4"/>
      <c r="N1" s="4"/>
      <c r="O1" s="4"/>
      <c r="P1" s="4"/>
      <c r="Q1" s="3"/>
      <c r="R1" s="3"/>
      <c r="S1" s="3"/>
      <c r="T1" s="3"/>
      <c r="U1" s="4"/>
      <c r="V1" s="3"/>
      <c r="W1" s="3"/>
      <c r="X1" s="3"/>
      <c r="Y1" s="3"/>
      <c r="Z1" s="3"/>
    </row>
    <row r="2" ht="24.0" customHeight="1">
      <c r="A2" s="5" t="s">
        <v>1</v>
      </c>
      <c r="B2" s="6" t="s">
        <v>2</v>
      </c>
      <c r="C2" s="6" t="s">
        <v>3</v>
      </c>
      <c r="D2" s="6" t="s">
        <v>4</v>
      </c>
      <c r="E2" s="6" t="s">
        <v>5</v>
      </c>
      <c r="F2" s="6" t="s">
        <v>6</v>
      </c>
      <c r="G2" s="6" t="s">
        <v>7</v>
      </c>
      <c r="H2" s="6" t="s">
        <v>8</v>
      </c>
      <c r="I2" s="6" t="s">
        <v>9</v>
      </c>
      <c r="J2" s="6" t="s">
        <v>10</v>
      </c>
      <c r="K2" s="6" t="s">
        <v>11</v>
      </c>
      <c r="L2" s="5" t="s">
        <v>12</v>
      </c>
      <c r="M2" s="5" t="s">
        <v>13</v>
      </c>
      <c r="N2" s="5" t="s">
        <v>14</v>
      </c>
      <c r="O2" s="5" t="s">
        <v>15</v>
      </c>
      <c r="P2" s="5" t="s">
        <v>16</v>
      </c>
      <c r="Q2" s="6" t="s">
        <v>8</v>
      </c>
      <c r="R2" s="6" t="s">
        <v>17</v>
      </c>
      <c r="S2" s="6" t="s">
        <v>18</v>
      </c>
      <c r="T2" s="6" t="s">
        <v>19</v>
      </c>
      <c r="U2" s="5" t="s">
        <v>20</v>
      </c>
      <c r="V2" s="7"/>
      <c r="W2" s="7"/>
      <c r="X2" s="7"/>
      <c r="Y2" s="7"/>
      <c r="Z2" s="7"/>
    </row>
    <row r="3">
      <c r="A3" s="8">
        <v>44222.534733796296</v>
      </c>
      <c r="B3" s="9" t="str">
        <f>HYPERLINK("https://twitter.com/Dark95211942","@Dark95211942")</f>
        <v>@Dark95211942</v>
      </c>
      <c r="C3" s="10" t="s">
        <v>21</v>
      </c>
      <c r="D3" s="10" t="s">
        <v>22</v>
      </c>
      <c r="E3" s="9" t="str">
        <f>HYPERLINK("https://twitter.com/Dark95211942/status/1354169748477665280","1354169748477665280")</f>
        <v>1354169748477665280</v>
      </c>
      <c r="F3" s="11"/>
      <c r="G3" s="12" t="s">
        <v>23</v>
      </c>
      <c r="H3" s="11"/>
      <c r="I3" s="13">
        <v>0.0</v>
      </c>
      <c r="J3" s="13">
        <v>1.0</v>
      </c>
      <c r="K3" s="9" t="str">
        <f t="shared" ref="K3:K4" si="1">HYPERLINK("http://twitter.com/download/android","Twitter for Android")</f>
        <v>Twitter for Android</v>
      </c>
      <c r="L3" s="14">
        <v>120.0</v>
      </c>
      <c r="M3" s="14">
        <v>257.0</v>
      </c>
      <c r="N3" s="14">
        <v>0.0</v>
      </c>
      <c r="O3" s="15"/>
      <c r="P3" s="16">
        <v>44142.69126157407</v>
      </c>
      <c r="Q3" s="10" t="s">
        <v>24</v>
      </c>
      <c r="R3" s="10" t="s">
        <v>25</v>
      </c>
      <c r="S3" s="11"/>
      <c r="T3" s="11"/>
      <c r="U3" s="17" t="str">
        <f>HYPERLINK("https://pbs.twimg.com/profile_images/1333361893101232128/bLKZy1lw.jpg","View")</f>
        <v>View</v>
      </c>
      <c r="V3" s="11"/>
      <c r="W3" s="11"/>
      <c r="X3" s="11"/>
      <c r="Y3" s="11"/>
      <c r="Z3" s="11"/>
    </row>
    <row r="4">
      <c r="A4" s="8">
        <v>44222.5158912037</v>
      </c>
      <c r="B4" s="9" t="str">
        <f>HYPERLINK("https://twitter.com/fedoroux","@fedoroux")</f>
        <v>@fedoroux</v>
      </c>
      <c r="C4" s="10" t="s">
        <v>26</v>
      </c>
      <c r="D4" s="10" t="s">
        <v>27</v>
      </c>
      <c r="E4" s="9" t="str">
        <f>HYPERLINK("https://twitter.com/fedoroux/status/1354162918003269632","1354162918003269632")</f>
        <v>1354162918003269632</v>
      </c>
      <c r="F4" s="11"/>
      <c r="G4" s="11"/>
      <c r="H4" s="11"/>
      <c r="I4" s="13">
        <v>0.0</v>
      </c>
      <c r="J4" s="13">
        <v>1.0</v>
      </c>
      <c r="K4" s="9" t="str">
        <f t="shared" si="1"/>
        <v>Twitter for Android</v>
      </c>
      <c r="L4" s="14">
        <v>2370.0</v>
      </c>
      <c r="M4" s="14">
        <v>1871.0</v>
      </c>
      <c r="N4" s="14">
        <v>3.0</v>
      </c>
      <c r="O4" s="15"/>
      <c r="P4" s="16">
        <v>43578.388287037036</v>
      </c>
      <c r="Q4" s="10" t="s">
        <v>28</v>
      </c>
      <c r="R4" s="10" t="s">
        <v>29</v>
      </c>
      <c r="S4" s="12" t="s">
        <v>30</v>
      </c>
      <c r="T4" s="11"/>
      <c r="U4" s="17" t="str">
        <f>HYPERLINK("https://pbs.twimg.com/profile_images/1331059656656084992/avMI3bBW.jpg","View")</f>
        <v>View</v>
      </c>
      <c r="V4" s="11"/>
      <c r="W4" s="11"/>
      <c r="X4" s="11"/>
      <c r="Y4" s="11"/>
      <c r="Z4" s="11"/>
    </row>
    <row r="5">
      <c r="A5" s="8">
        <v>44222.43556712963</v>
      </c>
      <c r="B5" s="9" t="str">
        <f>HYPERLINK("https://twitter.com/mysnow_flake","@mysnow_flake")</f>
        <v>@mysnow_flake</v>
      </c>
      <c r="C5" s="10" t="s">
        <v>31</v>
      </c>
      <c r="D5" s="10" t="s">
        <v>32</v>
      </c>
      <c r="E5" s="9" t="str">
        <f>HYPERLINK("https://twitter.com/mysnow_flake/status/1354133810628194307","1354133810628194307")</f>
        <v>1354133810628194307</v>
      </c>
      <c r="F5" s="11"/>
      <c r="G5" s="11"/>
      <c r="H5" s="11"/>
      <c r="I5" s="13">
        <v>0.0</v>
      </c>
      <c r="J5" s="13">
        <v>6.0</v>
      </c>
      <c r="K5" s="9" t="str">
        <f>HYPERLINK("https://mobile.twitter.com","Twitter Web App")</f>
        <v>Twitter Web App</v>
      </c>
      <c r="L5" s="14">
        <v>154.0</v>
      </c>
      <c r="M5" s="14">
        <v>396.0</v>
      </c>
      <c r="N5" s="14">
        <v>0.0</v>
      </c>
      <c r="O5" s="15"/>
      <c r="P5" s="16">
        <v>43469.60836805556</v>
      </c>
      <c r="Q5" s="10" t="s">
        <v>33</v>
      </c>
      <c r="R5" s="10" t="s">
        <v>34</v>
      </c>
      <c r="S5" s="11"/>
      <c r="T5" s="11"/>
      <c r="U5" s="17" t="str">
        <f>HYPERLINK("https://pbs.twimg.com/profile_images/1347787973606191106/p5oicY1u.jpg","View")</f>
        <v>View</v>
      </c>
      <c r="V5" s="11"/>
      <c r="W5" s="11"/>
      <c r="X5" s="11"/>
      <c r="Y5" s="11"/>
      <c r="Z5" s="11"/>
    </row>
    <row r="6">
      <c r="A6" s="8">
        <v>44222.435057870374</v>
      </c>
      <c r="B6" s="9" t="str">
        <f>HYPERLINK("https://twitter.com/LaNenitaMexa","@LaNenitaMexa")</f>
        <v>@LaNenitaMexa</v>
      </c>
      <c r="C6" s="10" t="s">
        <v>35</v>
      </c>
      <c r="D6" s="10" t="s">
        <v>36</v>
      </c>
      <c r="E6" s="9" t="str">
        <f>HYPERLINK("https://twitter.com/LaNenitaMexa/status/1354133627060146184","1354133627060146184")</f>
        <v>1354133627060146184</v>
      </c>
      <c r="F6" s="11"/>
      <c r="G6" s="11"/>
      <c r="H6" s="11"/>
      <c r="I6" s="13">
        <v>0.0</v>
      </c>
      <c r="J6" s="13">
        <v>3.0</v>
      </c>
      <c r="K6" s="9" t="str">
        <f>HYPERLINK("http://twitter.com/download/android","Twitter for Android")</f>
        <v>Twitter for Android</v>
      </c>
      <c r="L6" s="14">
        <v>4780.0</v>
      </c>
      <c r="M6" s="14">
        <v>44.0</v>
      </c>
      <c r="N6" s="14">
        <v>15.0</v>
      </c>
      <c r="O6" s="15"/>
      <c r="P6" s="16">
        <v>44060.65363425926</v>
      </c>
      <c r="Q6" s="11"/>
      <c r="R6" s="10" t="s">
        <v>37</v>
      </c>
      <c r="S6" s="11"/>
      <c r="T6" s="11"/>
      <c r="U6" s="17" t="str">
        <f>HYPERLINK("https://pbs.twimg.com/profile_images/1295491134223859712/8E5lbaVn.jpg","View")</f>
        <v>View</v>
      </c>
      <c r="V6" s="11"/>
      <c r="W6" s="11"/>
      <c r="X6" s="11"/>
      <c r="Y6" s="11"/>
      <c r="Z6" s="11"/>
    </row>
    <row r="7">
      <c r="A7" s="8">
        <v>44222.371099537035</v>
      </c>
      <c r="B7" s="9" t="str">
        <f>HYPERLINK("https://twitter.com/avi_gdeo","@avi_gdeo")</f>
        <v>@avi_gdeo</v>
      </c>
      <c r="C7" s="10" t="s">
        <v>38</v>
      </c>
      <c r="D7" s="10" t="s">
        <v>39</v>
      </c>
      <c r="E7" s="9" t="str">
        <f>HYPERLINK("https://twitter.com/avi_gdeo/status/1354110445595070464","1354110445595070464")</f>
        <v>1354110445595070464</v>
      </c>
      <c r="F7" s="11"/>
      <c r="G7" s="11"/>
      <c r="H7" s="11"/>
      <c r="I7" s="13">
        <v>0.0</v>
      </c>
      <c r="J7" s="13">
        <v>2.0</v>
      </c>
      <c r="K7" s="9" t="str">
        <f t="shared" ref="K7:K10" si="2">HYPERLINK("http://twitter.com/download/iphone","Twitter for iPhone")</f>
        <v>Twitter for iPhone</v>
      </c>
      <c r="L7" s="14">
        <v>926.0</v>
      </c>
      <c r="M7" s="14">
        <v>512.0</v>
      </c>
      <c r="N7" s="14">
        <v>0.0</v>
      </c>
      <c r="O7" s="15"/>
      <c r="P7" s="16">
        <v>40770.41894675926</v>
      </c>
      <c r="Q7" s="11"/>
      <c r="R7" s="10" t="s">
        <v>40</v>
      </c>
      <c r="S7" s="12" t="s">
        <v>41</v>
      </c>
      <c r="T7" s="11"/>
      <c r="U7" s="17" t="str">
        <f>HYPERLINK("https://pbs.twimg.com/profile_images/1349241961446719488/xl-SAU_I.jpg","View")</f>
        <v>View</v>
      </c>
      <c r="V7" s="11"/>
      <c r="W7" s="11"/>
      <c r="X7" s="11"/>
      <c r="Y7" s="11"/>
      <c r="Z7" s="11"/>
    </row>
    <row r="8">
      <c r="A8" s="8">
        <v>44222.310636574075</v>
      </c>
      <c r="B8" s="9" t="str">
        <f>HYPERLINK("https://twitter.com/mashaleopardina","@mashaleopardina")</f>
        <v>@mashaleopardina</v>
      </c>
      <c r="C8" s="10" t="s">
        <v>42</v>
      </c>
      <c r="D8" s="10" t="s">
        <v>43</v>
      </c>
      <c r="E8" s="9" t="str">
        <f>HYPERLINK("https://twitter.com/mashaleopardina/status/1354088536627142656","1354088536627142656")</f>
        <v>1354088536627142656</v>
      </c>
      <c r="F8" s="11"/>
      <c r="G8" s="11"/>
      <c r="H8" s="11"/>
      <c r="I8" s="13">
        <v>0.0</v>
      </c>
      <c r="J8" s="13">
        <v>1.0</v>
      </c>
      <c r="K8" s="9" t="str">
        <f t="shared" si="2"/>
        <v>Twitter for iPhone</v>
      </c>
      <c r="L8" s="14">
        <v>244.0</v>
      </c>
      <c r="M8" s="14">
        <v>730.0</v>
      </c>
      <c r="N8" s="14">
        <v>0.0</v>
      </c>
      <c r="O8" s="15"/>
      <c r="P8" s="16">
        <v>40691.52594907407</v>
      </c>
      <c r="Q8" s="10" t="s">
        <v>44</v>
      </c>
      <c r="R8" s="10" t="s">
        <v>45</v>
      </c>
      <c r="S8" s="11"/>
      <c r="T8" s="11"/>
      <c r="U8" s="17" t="str">
        <f>HYPERLINK("https://pbs.twimg.com/profile_images/1325828698373844992/y9sIzkbh.jpg","View")</f>
        <v>View</v>
      </c>
      <c r="V8" s="11"/>
      <c r="W8" s="11"/>
      <c r="X8" s="11"/>
      <c r="Y8" s="11"/>
      <c r="Z8" s="11"/>
    </row>
    <row r="9">
      <c r="A9" s="8">
        <v>44222.259050925924</v>
      </c>
      <c r="B9" s="9" t="str">
        <f>HYPERLINK("https://twitter.com/El_Funambxlista","@El_Funambxlista")</f>
        <v>@El_Funambxlista</v>
      </c>
      <c r="C9" s="10" t="s">
        <v>46</v>
      </c>
      <c r="D9" s="10" t="s">
        <v>47</v>
      </c>
      <c r="E9" s="9" t="str">
        <f>HYPERLINK("https://twitter.com/El_Funambxlista/status/1354069840399630336","1354069840399630336")</f>
        <v>1354069840399630336</v>
      </c>
      <c r="F9" s="11"/>
      <c r="G9" s="11"/>
      <c r="H9" s="11"/>
      <c r="I9" s="13">
        <v>0.0</v>
      </c>
      <c r="J9" s="13">
        <v>14.0</v>
      </c>
      <c r="K9" s="9" t="str">
        <f t="shared" si="2"/>
        <v>Twitter for iPhone</v>
      </c>
      <c r="L9" s="14">
        <v>1997.0</v>
      </c>
      <c r="M9" s="14">
        <v>240.0</v>
      </c>
      <c r="N9" s="14">
        <v>3.0</v>
      </c>
      <c r="O9" s="15"/>
      <c r="P9" s="16">
        <v>43852.231875</v>
      </c>
      <c r="Q9" s="11"/>
      <c r="R9" s="10" t="s">
        <v>48</v>
      </c>
      <c r="S9" s="11"/>
      <c r="T9" s="11"/>
      <c r="U9" s="17" t="str">
        <f>HYPERLINK("https://pbs.twimg.com/profile_images/1351985475267948544/rtdsNrtX.jpg","View")</f>
        <v>View</v>
      </c>
      <c r="V9" s="11"/>
      <c r="W9" s="11"/>
      <c r="X9" s="11"/>
      <c r="Y9" s="11"/>
      <c r="Z9" s="11"/>
    </row>
    <row r="10">
      <c r="A10" s="8">
        <v>44221.92254629629</v>
      </c>
      <c r="B10" s="9" t="str">
        <f>HYPERLINK("https://twitter.com/_mygbcctrl_","@_mygbcctrl_")</f>
        <v>@_mygbcctrl_</v>
      </c>
      <c r="C10" s="10" t="s">
        <v>49</v>
      </c>
      <c r="D10" s="10" t="s">
        <v>50</v>
      </c>
      <c r="E10" s="9" t="str">
        <f>HYPERLINK("https://twitter.com/_mygbcctrl_/status/1353947896895295493","1353947896895295493")</f>
        <v>1353947896895295493</v>
      </c>
      <c r="F10" s="11"/>
      <c r="G10" s="11"/>
      <c r="H10" s="11"/>
      <c r="I10" s="13">
        <v>0.0</v>
      </c>
      <c r="J10" s="13">
        <v>0.0</v>
      </c>
      <c r="K10" s="9" t="str">
        <f t="shared" si="2"/>
        <v>Twitter for iPhone</v>
      </c>
      <c r="L10" s="14">
        <v>289.0</v>
      </c>
      <c r="M10" s="14">
        <v>814.0</v>
      </c>
      <c r="N10" s="14">
        <v>7.0</v>
      </c>
      <c r="O10" s="15"/>
      <c r="P10" s="16">
        <v>43152.787256944444</v>
      </c>
      <c r="Q10" s="11"/>
      <c r="R10" s="10" t="s">
        <v>51</v>
      </c>
      <c r="S10" s="11"/>
      <c r="T10" s="11"/>
      <c r="U10" s="17" t="str">
        <f>HYPERLINK("https://pbs.twimg.com/profile_images/1353749681377931316/uu4ak7mv.jpg","View")</f>
        <v>View</v>
      </c>
      <c r="V10" s="11"/>
      <c r="W10" s="11"/>
      <c r="X10" s="11"/>
      <c r="Y10" s="11"/>
      <c r="Z10" s="11"/>
    </row>
    <row r="11">
      <c r="A11" s="8">
        <v>44221.71552083333</v>
      </c>
      <c r="B11" s="9" t="str">
        <f>HYPERLINK("https://twitter.com/IsaiMartcruz","@IsaiMartcruz")</f>
        <v>@IsaiMartcruz</v>
      </c>
      <c r="C11" s="10" t="s">
        <v>52</v>
      </c>
      <c r="D11" s="10" t="s">
        <v>53</v>
      </c>
      <c r="E11" s="9" t="str">
        <f>HYPERLINK("https://twitter.com/IsaiMartcruz/status/1353872873002307584","1353872873002307584")</f>
        <v>1353872873002307584</v>
      </c>
      <c r="F11" s="11"/>
      <c r="G11" s="12" t="s">
        <v>54</v>
      </c>
      <c r="H11" s="11"/>
      <c r="I11" s="13">
        <v>0.0</v>
      </c>
      <c r="J11" s="13">
        <v>0.0</v>
      </c>
      <c r="K11" s="9" t="str">
        <f t="shared" ref="K11:K13" si="3">HYPERLINK("http://twitter.com/download/android","Twitter for Android")</f>
        <v>Twitter for Android</v>
      </c>
      <c r="L11" s="14">
        <v>35.0</v>
      </c>
      <c r="M11" s="14">
        <v>401.0</v>
      </c>
      <c r="N11" s="14">
        <v>0.0</v>
      </c>
      <c r="O11" s="15"/>
      <c r="P11" s="16">
        <v>44140.849594907406</v>
      </c>
      <c r="Q11" s="10" t="s">
        <v>55</v>
      </c>
      <c r="R11" s="10" t="s">
        <v>56</v>
      </c>
      <c r="S11" s="11"/>
      <c r="T11" s="11"/>
      <c r="U11" s="17" t="str">
        <f>HYPERLINK("https://pbs.twimg.com/profile_images/1324718850009686016/airgVHsu.jpg","View")</f>
        <v>View</v>
      </c>
      <c r="V11" s="11"/>
      <c r="W11" s="11"/>
      <c r="X11" s="11"/>
      <c r="Y11" s="11"/>
      <c r="Z11" s="11"/>
    </row>
    <row r="12">
      <c r="A12" s="8">
        <v>44221.700208333335</v>
      </c>
      <c r="B12" s="9" t="str">
        <f>HYPERLINK("https://twitter.com/jmgc_19","@jmgc_19")</f>
        <v>@jmgc_19</v>
      </c>
      <c r="C12" s="10" t="s">
        <v>57</v>
      </c>
      <c r="D12" s="10" t="s">
        <v>58</v>
      </c>
      <c r="E12" s="9" t="str">
        <f>HYPERLINK("https://twitter.com/jmgc_19/status/1353867325523587073","1353867325523587073")</f>
        <v>1353867325523587073</v>
      </c>
      <c r="F12" s="11"/>
      <c r="G12" s="11"/>
      <c r="H12" s="11"/>
      <c r="I12" s="13">
        <v>0.0</v>
      </c>
      <c r="J12" s="13">
        <v>0.0</v>
      </c>
      <c r="K12" s="9" t="str">
        <f t="shared" si="3"/>
        <v>Twitter for Android</v>
      </c>
      <c r="L12" s="14">
        <v>1088.0</v>
      </c>
      <c r="M12" s="14">
        <v>870.0</v>
      </c>
      <c r="N12" s="14">
        <v>0.0</v>
      </c>
      <c r="O12" s="15"/>
      <c r="P12" s="16">
        <v>42277.5428125</v>
      </c>
      <c r="Q12" s="10" t="s">
        <v>59</v>
      </c>
      <c r="R12" s="10" t="s">
        <v>60</v>
      </c>
      <c r="S12" s="11"/>
      <c r="T12" s="11"/>
      <c r="U12" s="17" t="str">
        <f>HYPERLINK("https://pbs.twimg.com/profile_images/1352194622517350402/KQEUWxF5.jpg","View")</f>
        <v>View</v>
      </c>
      <c r="V12" s="11"/>
      <c r="W12" s="11"/>
      <c r="X12" s="11"/>
      <c r="Y12" s="11"/>
      <c r="Z12" s="11"/>
    </row>
    <row r="13">
      <c r="A13" s="8">
        <v>44221.546064814815</v>
      </c>
      <c r="B13" s="9" t="str">
        <f>HYPERLINK("https://twitter.com/GaiaUwu","@GaiaUwu")</f>
        <v>@GaiaUwu</v>
      </c>
      <c r="C13" s="10" t="s">
        <v>61</v>
      </c>
      <c r="D13" s="10" t="s">
        <v>62</v>
      </c>
      <c r="E13" s="9" t="str">
        <f>HYPERLINK("https://twitter.com/GaiaUwu/status/1353811463048196096","1353811463048196096")</f>
        <v>1353811463048196096</v>
      </c>
      <c r="F13" s="11"/>
      <c r="G13" s="11"/>
      <c r="H13" s="11"/>
      <c r="I13" s="13">
        <v>0.0</v>
      </c>
      <c r="J13" s="13">
        <v>2.0</v>
      </c>
      <c r="K13" s="9" t="str">
        <f t="shared" si="3"/>
        <v>Twitter for Android</v>
      </c>
      <c r="L13" s="14">
        <v>525.0</v>
      </c>
      <c r="M13" s="14">
        <v>673.0</v>
      </c>
      <c r="N13" s="14">
        <v>10.0</v>
      </c>
      <c r="O13" s="15"/>
      <c r="P13" s="16">
        <v>43744.349768518514</v>
      </c>
      <c r="Q13" s="10" t="s">
        <v>63</v>
      </c>
      <c r="R13" s="10" t="s">
        <v>64</v>
      </c>
      <c r="S13" s="12" t="s">
        <v>65</v>
      </c>
      <c r="T13" s="11"/>
      <c r="U13" s="17" t="str">
        <f>HYPERLINK("https://pbs.twimg.com/profile_images/1350926029917974528/a1UG3bLl.jpg","View")</f>
        <v>View</v>
      </c>
      <c r="V13" s="11"/>
      <c r="W13" s="11"/>
      <c r="X13" s="11"/>
      <c r="Y13" s="11"/>
      <c r="Z13" s="11"/>
    </row>
    <row r="14">
      <c r="A14" s="8">
        <v>44221.30244212963</v>
      </c>
      <c r="B14" s="9" t="str">
        <f>HYPERLINK("https://twitter.com/popcornts","@popcornts")</f>
        <v>@popcornts</v>
      </c>
      <c r="C14" s="10" t="s">
        <v>66</v>
      </c>
      <c r="D14" s="10" t="s">
        <v>67</v>
      </c>
      <c r="E14" s="9" t="str">
        <f>HYPERLINK("https://twitter.com/popcornts/status/1353723181027237888","1353723181027237888")</f>
        <v>1353723181027237888</v>
      </c>
      <c r="F14" s="10" t="s">
        <v>68</v>
      </c>
      <c r="G14" s="11"/>
      <c r="H14" s="11"/>
      <c r="I14" s="13">
        <v>0.0</v>
      </c>
      <c r="J14" s="13">
        <v>0.0</v>
      </c>
      <c r="K14" s="9" t="str">
        <f>HYPERLINK("http://twitter.com/download/iphone","Twitter for iPhone")</f>
        <v>Twitter for iPhone</v>
      </c>
      <c r="L14" s="14">
        <v>182.0</v>
      </c>
      <c r="M14" s="14">
        <v>431.0</v>
      </c>
      <c r="N14" s="14">
        <v>0.0</v>
      </c>
      <c r="O14" s="15"/>
      <c r="P14" s="16">
        <v>44198.42423611111</v>
      </c>
      <c r="Q14" s="11"/>
      <c r="R14" s="10" t="s">
        <v>69</v>
      </c>
      <c r="S14" s="11"/>
      <c r="T14" s="11"/>
      <c r="U14" s="17" t="str">
        <f>HYPERLINK("https://pbs.twimg.com/profile_images/1348714765472968704/BKJZoJPo.jpg","View")</f>
        <v>View</v>
      </c>
      <c r="V14" s="11"/>
      <c r="W14" s="11"/>
      <c r="X14" s="11"/>
      <c r="Y14" s="11"/>
      <c r="Z14" s="11"/>
    </row>
    <row r="15">
      <c r="A15" s="8">
        <v>44221.218819444446</v>
      </c>
      <c r="B15" s="9" t="str">
        <f>HYPERLINK("https://twitter.com/piruja_el","@piruja_el")</f>
        <v>@piruja_el</v>
      </c>
      <c r="C15" s="10" t="s">
        <v>70</v>
      </c>
      <c r="D15" s="10" t="s">
        <v>71</v>
      </c>
      <c r="E15" s="9" t="str">
        <f>HYPERLINK("https://twitter.com/piruja_el/status/1353692874404220929","1353692874404220929")</f>
        <v>1353692874404220929</v>
      </c>
      <c r="F15" s="11"/>
      <c r="G15" s="11"/>
      <c r="H15" s="11"/>
      <c r="I15" s="13">
        <v>0.0</v>
      </c>
      <c r="J15" s="13">
        <v>2.0</v>
      </c>
      <c r="K15" s="9" t="str">
        <f>HYPERLINK("http://twitter.com/download/android","Twitter for Android")</f>
        <v>Twitter for Android</v>
      </c>
      <c r="L15" s="14">
        <v>4529.0</v>
      </c>
      <c r="M15" s="14">
        <v>4605.0</v>
      </c>
      <c r="N15" s="14">
        <v>0.0</v>
      </c>
      <c r="O15" s="15"/>
      <c r="P15" s="16">
        <v>43926.419583333336</v>
      </c>
      <c r="Q15" s="11"/>
      <c r="R15" s="10" t="s">
        <v>72</v>
      </c>
      <c r="S15" s="11"/>
      <c r="T15" s="11"/>
      <c r="U15" s="17" t="str">
        <f>HYPERLINK("https://pbs.twimg.com/profile_images/1247192610453716993/BVpiaavv.jpg","View")</f>
        <v>View</v>
      </c>
      <c r="V15" s="11"/>
      <c r="W15" s="11"/>
      <c r="X15" s="11"/>
      <c r="Y15" s="11"/>
      <c r="Z15" s="11"/>
    </row>
    <row r="16">
      <c r="A16" s="8">
        <v>44220.95307870371</v>
      </c>
      <c r="B16" s="9" t="str">
        <f>HYPERLINK("https://twitter.com/JUNG_FUCK00K","@JUNG_FUCK00K")</f>
        <v>@JUNG_FUCK00K</v>
      </c>
      <c r="C16" s="10" t="s">
        <v>73</v>
      </c>
      <c r="D16" s="10" t="s">
        <v>74</v>
      </c>
      <c r="E16" s="9" t="str">
        <f>HYPERLINK("https://twitter.com/JUNG_FUCK00K/status/1353596573968715777","1353596573968715777")</f>
        <v>1353596573968715777</v>
      </c>
      <c r="F16" s="12" t="s">
        <v>75</v>
      </c>
      <c r="G16" s="11"/>
      <c r="H16" s="11"/>
      <c r="I16" s="13">
        <v>0.0</v>
      </c>
      <c r="J16" s="13">
        <v>0.0</v>
      </c>
      <c r="K16" s="9" t="str">
        <f>HYPERLINK("http://twitter.com/download/iphone","Twitter for iPhone")</f>
        <v>Twitter for iPhone</v>
      </c>
      <c r="L16" s="14">
        <v>1378.0</v>
      </c>
      <c r="M16" s="14">
        <v>551.0</v>
      </c>
      <c r="N16" s="14">
        <v>12.0</v>
      </c>
      <c r="O16" s="15"/>
      <c r="P16" s="16">
        <v>44024.859664351854</v>
      </c>
      <c r="Q16" s="10" t="s">
        <v>76</v>
      </c>
      <c r="R16" s="10" t="s">
        <v>77</v>
      </c>
      <c r="S16" s="11"/>
      <c r="T16" s="11"/>
      <c r="U16" s="17" t="str">
        <f>HYPERLINK("https://pbs.twimg.com/profile_images/1353932706242039808/eaJl1fgE.jpg","View")</f>
        <v>View</v>
      </c>
      <c r="V16" s="11"/>
      <c r="W16" s="11"/>
      <c r="X16" s="11"/>
      <c r="Y16" s="11"/>
      <c r="Z16" s="11"/>
    </row>
    <row r="17">
      <c r="A17" s="8">
        <v>44220.70518518519</v>
      </c>
      <c r="B17" s="9" t="str">
        <f>HYPERLINK("https://twitter.com/Joe_Gons","@Joe_Gons")</f>
        <v>@Joe_Gons</v>
      </c>
      <c r="C17" s="10" t="s">
        <v>78</v>
      </c>
      <c r="D17" s="10" t="s">
        <v>79</v>
      </c>
      <c r="E17" s="9" t="str">
        <f>HYPERLINK("https://twitter.com/Joe_Gons/status/1353506738612236288","1353506738612236288")</f>
        <v>1353506738612236288</v>
      </c>
      <c r="F17" s="11"/>
      <c r="G17" s="11"/>
      <c r="H17" s="11"/>
      <c r="I17" s="13">
        <v>0.0</v>
      </c>
      <c r="J17" s="13">
        <v>0.0</v>
      </c>
      <c r="K17" s="9" t="str">
        <f t="shared" ref="K17:K19" si="4">HYPERLINK("http://twitter.com/download/android","Twitter for Android")</f>
        <v>Twitter for Android</v>
      </c>
      <c r="L17" s="14">
        <v>132.0</v>
      </c>
      <c r="M17" s="14">
        <v>243.0</v>
      </c>
      <c r="N17" s="14">
        <v>2.0</v>
      </c>
      <c r="O17" s="15"/>
      <c r="P17" s="16">
        <v>41339.630578703705</v>
      </c>
      <c r="Q17" s="10" t="s">
        <v>80</v>
      </c>
      <c r="R17" s="10" t="s">
        <v>81</v>
      </c>
      <c r="S17" s="11"/>
      <c r="T17" s="11"/>
      <c r="U17" s="17" t="str">
        <f>HYPERLINK("https://pbs.twimg.com/profile_images/1335117317370380289/PfnlEzMS.jpg","View")</f>
        <v>View</v>
      </c>
      <c r="V17" s="11"/>
      <c r="W17" s="11"/>
      <c r="X17" s="11"/>
      <c r="Y17" s="11"/>
      <c r="Z17" s="11"/>
    </row>
    <row r="18">
      <c r="A18" s="8">
        <v>44220.63144675926</v>
      </c>
      <c r="B18" s="9" t="str">
        <f>HYPERLINK("https://twitter.com/LaHuesico","@LaHuesico")</f>
        <v>@LaHuesico</v>
      </c>
      <c r="C18" s="10" t="s">
        <v>82</v>
      </c>
      <c r="D18" s="10" t="s">
        <v>83</v>
      </c>
      <c r="E18" s="9" t="str">
        <f>HYPERLINK("https://twitter.com/LaHuesico/status/1353480020220665863","1353480020220665863")</f>
        <v>1353480020220665863</v>
      </c>
      <c r="F18" s="12" t="s">
        <v>84</v>
      </c>
      <c r="G18" s="12" t="s">
        <v>85</v>
      </c>
      <c r="H18" s="11"/>
      <c r="I18" s="13">
        <v>0.0</v>
      </c>
      <c r="J18" s="13">
        <v>1.0</v>
      </c>
      <c r="K18" s="9" t="str">
        <f t="shared" si="4"/>
        <v>Twitter for Android</v>
      </c>
      <c r="L18" s="14">
        <v>129.0</v>
      </c>
      <c r="M18" s="14">
        <v>111.0</v>
      </c>
      <c r="N18" s="14">
        <v>12.0</v>
      </c>
      <c r="O18" s="15"/>
      <c r="P18" s="16">
        <v>41377.315567129626</v>
      </c>
      <c r="Q18" s="11"/>
      <c r="R18" s="10" t="s">
        <v>86</v>
      </c>
      <c r="S18" s="11"/>
      <c r="T18" s="11"/>
      <c r="U18" s="17" t="str">
        <f>HYPERLINK("https://pbs.twimg.com/profile_images/1315668339247767554/fe-8Lz2e.jpg","View")</f>
        <v>View</v>
      </c>
      <c r="V18" s="11"/>
      <c r="W18" s="11"/>
      <c r="X18" s="11"/>
      <c r="Y18" s="11"/>
      <c r="Z18" s="11"/>
    </row>
    <row r="19">
      <c r="A19" s="8">
        <v>44220.6021875</v>
      </c>
      <c r="B19" s="9" t="str">
        <f>HYPERLINK("https://twitter.com/liriodeplata81","@liriodeplata81")</f>
        <v>@liriodeplata81</v>
      </c>
      <c r="C19" s="10" t="s">
        <v>87</v>
      </c>
      <c r="D19" s="10" t="s">
        <v>88</v>
      </c>
      <c r="E19" s="9" t="str">
        <f>HYPERLINK("https://twitter.com/liriodeplata81/status/1353469414713208832","1353469414713208832")</f>
        <v>1353469414713208832</v>
      </c>
      <c r="F19" s="11"/>
      <c r="G19" s="11"/>
      <c r="H19" s="11"/>
      <c r="I19" s="13">
        <v>0.0</v>
      </c>
      <c r="J19" s="13">
        <v>0.0</v>
      </c>
      <c r="K19" s="9" t="str">
        <f t="shared" si="4"/>
        <v>Twitter for Android</v>
      </c>
      <c r="L19" s="14">
        <v>722.0</v>
      </c>
      <c r="M19" s="14">
        <v>1045.0</v>
      </c>
      <c r="N19" s="14">
        <v>6.0</v>
      </c>
      <c r="O19" s="15"/>
      <c r="P19" s="16">
        <v>41627.19701388889</v>
      </c>
      <c r="Q19" s="10" t="s">
        <v>89</v>
      </c>
      <c r="R19" s="10" t="s">
        <v>90</v>
      </c>
      <c r="S19" s="12" t="s">
        <v>91</v>
      </c>
      <c r="T19" s="11"/>
      <c r="U19" s="17" t="str">
        <f>HYPERLINK("https://pbs.twimg.com/profile_images/1337957382354296832/D9Ry4l9v.jpg","View")</f>
        <v>View</v>
      </c>
      <c r="V19" s="11"/>
      <c r="W19" s="11"/>
      <c r="X19" s="11"/>
      <c r="Y19" s="11"/>
      <c r="Z19" s="11"/>
    </row>
    <row r="20">
      <c r="A20" s="8">
        <v>44220.537256944444</v>
      </c>
      <c r="B20" s="9" t="str">
        <f>HYPERLINK("https://twitter.com/alvzain","@alvzain")</f>
        <v>@alvzain</v>
      </c>
      <c r="C20" s="10" t="s">
        <v>92</v>
      </c>
      <c r="D20" s="10" t="s">
        <v>93</v>
      </c>
      <c r="E20" s="9" t="str">
        <f>HYPERLINK("https://twitter.com/alvzain/status/1353445883304546306","1353445883304546306")</f>
        <v>1353445883304546306</v>
      </c>
      <c r="F20" s="10" t="s">
        <v>94</v>
      </c>
      <c r="G20" s="11"/>
      <c r="H20" s="11"/>
      <c r="I20" s="13">
        <v>0.0</v>
      </c>
      <c r="J20" s="13">
        <v>0.0</v>
      </c>
      <c r="K20" s="9" t="str">
        <f>HYPERLINK("http://twitter.com/download/iphone","Twitter for iPhone")</f>
        <v>Twitter for iPhone</v>
      </c>
      <c r="L20" s="14">
        <v>313.0</v>
      </c>
      <c r="M20" s="14">
        <v>314.0</v>
      </c>
      <c r="N20" s="14">
        <v>3.0</v>
      </c>
      <c r="O20" s="15"/>
      <c r="P20" s="16">
        <v>44181.571597222224</v>
      </c>
      <c r="Q20" s="11"/>
      <c r="R20" s="10" t="s">
        <v>95</v>
      </c>
      <c r="S20" s="11"/>
      <c r="T20" s="11"/>
      <c r="U20" s="17" t="str">
        <f>HYPERLINK("https://pbs.twimg.com/profile_images/1353261584198619136/2YYjned7.jpg","View")</f>
        <v>View</v>
      </c>
      <c r="V20" s="11"/>
      <c r="W20" s="11"/>
      <c r="X20" s="11"/>
      <c r="Y20" s="11"/>
      <c r="Z20" s="11"/>
    </row>
    <row r="21">
      <c r="A21" s="8">
        <v>44220.47814814815</v>
      </c>
      <c r="B21" s="9" t="str">
        <f>HYPERLINK("https://twitter.com/Inclusivequisde","@Inclusivequisde")</f>
        <v>@Inclusivequisde</v>
      </c>
      <c r="C21" s="10" t="s">
        <v>96</v>
      </c>
      <c r="D21" s="10" t="s">
        <v>97</v>
      </c>
      <c r="E21" s="9" t="str">
        <f>HYPERLINK("https://twitter.com/Inclusivequisde/status/1353424463308722176","1353424463308722176")</f>
        <v>1353424463308722176</v>
      </c>
      <c r="F21" s="12" t="s">
        <v>98</v>
      </c>
      <c r="G21" s="12" t="s">
        <v>99</v>
      </c>
      <c r="H21" s="11"/>
      <c r="I21" s="13">
        <v>0.0</v>
      </c>
      <c r="J21" s="13">
        <v>0.0</v>
      </c>
      <c r="K21" s="9" t="str">
        <f t="shared" ref="K21:K22" si="5">HYPERLINK("http://twitter.com/download/android","Twitter for Android")</f>
        <v>Twitter for Android</v>
      </c>
      <c r="L21" s="14">
        <v>679.0</v>
      </c>
      <c r="M21" s="14">
        <v>672.0</v>
      </c>
      <c r="N21" s="14">
        <v>6.0</v>
      </c>
      <c r="O21" s="15"/>
      <c r="P21" s="16">
        <v>43805.65350694444</v>
      </c>
      <c r="Q21" s="11"/>
      <c r="R21" s="10" t="s">
        <v>100</v>
      </c>
      <c r="S21" s="12" t="s">
        <v>101</v>
      </c>
      <c r="T21" s="11"/>
      <c r="U21" s="17" t="str">
        <f>HYPERLINK("https://pbs.twimg.com/profile_images/1303268123202781185/wzHgiu8a.jpg","View")</f>
        <v>View</v>
      </c>
      <c r="V21" s="11"/>
      <c r="W21" s="11"/>
      <c r="X21" s="11"/>
      <c r="Y21" s="11"/>
      <c r="Z21" s="11"/>
    </row>
    <row r="22">
      <c r="A22" s="8">
        <v>44220.00771990741</v>
      </c>
      <c r="B22" s="9" t="str">
        <f>HYPERLINK("https://twitter.com/MariGzzo","@MariGzzo")</f>
        <v>@MariGzzo</v>
      </c>
      <c r="C22" s="10" t="s">
        <v>102</v>
      </c>
      <c r="D22" s="10" t="s">
        <v>103</v>
      </c>
      <c r="E22" s="9" t="str">
        <f>HYPERLINK("https://twitter.com/MariGzzo/status/1353253989362659328","1353253989362659328")</f>
        <v>1353253989362659328</v>
      </c>
      <c r="F22" s="11"/>
      <c r="G22" s="11"/>
      <c r="H22" s="11"/>
      <c r="I22" s="13">
        <v>0.0</v>
      </c>
      <c r="J22" s="13">
        <v>0.0</v>
      </c>
      <c r="K22" s="9" t="str">
        <f t="shared" si="5"/>
        <v>Twitter for Android</v>
      </c>
      <c r="L22" s="14">
        <v>317.0</v>
      </c>
      <c r="M22" s="14">
        <v>187.0</v>
      </c>
      <c r="N22" s="14">
        <v>0.0</v>
      </c>
      <c r="O22" s="15"/>
      <c r="P22" s="16">
        <v>43073.88827546296</v>
      </c>
      <c r="Q22" s="11"/>
      <c r="R22" s="11"/>
      <c r="S22" s="12" t="s">
        <v>104</v>
      </c>
      <c r="T22" s="11"/>
      <c r="U22" s="17" t="str">
        <f>HYPERLINK("https://pbs.twimg.com/profile_images/1350333072886149120/J9X0WE0n.jpg","View")</f>
        <v>View</v>
      </c>
      <c r="V22" s="11"/>
      <c r="W22" s="11"/>
      <c r="X22" s="11"/>
      <c r="Y22" s="11"/>
      <c r="Z22" s="11"/>
    </row>
    <row r="23">
      <c r="A23" s="8">
        <v>44219.9462037037</v>
      </c>
      <c r="B23" s="9" t="str">
        <f>HYPERLINK("https://twitter.com/spontneuosmagic","@spontneuosmagic")</f>
        <v>@spontneuosmagic</v>
      </c>
      <c r="C23" s="10" t="s">
        <v>105</v>
      </c>
      <c r="D23" s="10" t="s">
        <v>106</v>
      </c>
      <c r="E23" s="9" t="str">
        <f>HYPERLINK("https://twitter.com/spontneuosmagic/status/1353231694103531520","1353231694103531520")</f>
        <v>1353231694103531520</v>
      </c>
      <c r="F23" s="11"/>
      <c r="G23" s="11"/>
      <c r="H23" s="11"/>
      <c r="I23" s="13">
        <v>0.0</v>
      </c>
      <c r="J23" s="13">
        <v>1.0</v>
      </c>
      <c r="K23" s="9" t="str">
        <f>HYPERLINK("http://twitter.com/#!/download/ipad","Twitter for iPad")</f>
        <v>Twitter for iPad</v>
      </c>
      <c r="L23" s="14">
        <v>1087.0</v>
      </c>
      <c r="M23" s="14">
        <v>1507.0</v>
      </c>
      <c r="N23" s="14">
        <v>21.0</v>
      </c>
      <c r="O23" s="15"/>
      <c r="P23" s="16">
        <v>42132.3328125</v>
      </c>
      <c r="Q23" s="10" t="s">
        <v>107</v>
      </c>
      <c r="R23" s="10" t="s">
        <v>108</v>
      </c>
      <c r="S23" s="12" t="s">
        <v>109</v>
      </c>
      <c r="T23" s="11"/>
      <c r="U23" s="17" t="str">
        <f>HYPERLINK("https://pbs.twimg.com/profile_images/1353503547707559937/0e6pqYgf.jpg","View")</f>
        <v>View</v>
      </c>
      <c r="V23" s="11"/>
      <c r="W23" s="11"/>
      <c r="X23" s="11"/>
      <c r="Y23" s="11"/>
      <c r="Z23" s="11"/>
    </row>
    <row r="24">
      <c r="A24" s="8">
        <v>44219.85932870371</v>
      </c>
      <c r="B24" s="9" t="str">
        <f>HYPERLINK("https://twitter.com/gcjjk_","@gcjjk_")</f>
        <v>@gcjjk_</v>
      </c>
      <c r="C24" s="10" t="s">
        <v>110</v>
      </c>
      <c r="D24" s="10" t="s">
        <v>111</v>
      </c>
      <c r="E24" s="9" t="str">
        <f>HYPERLINK("https://twitter.com/gcjjk_/status/1353200212681121793","1353200212681121793")</f>
        <v>1353200212681121793</v>
      </c>
      <c r="F24" s="11"/>
      <c r="G24" s="11"/>
      <c r="H24" s="11"/>
      <c r="I24" s="13">
        <v>0.0</v>
      </c>
      <c r="J24" s="13">
        <v>0.0</v>
      </c>
      <c r="K24" s="9" t="str">
        <f>HYPERLINK("http://twitter.com/download/android","Twitter for Android")</f>
        <v>Twitter for Android</v>
      </c>
      <c r="L24" s="14">
        <v>267.0</v>
      </c>
      <c r="M24" s="14">
        <v>274.0</v>
      </c>
      <c r="N24" s="14">
        <v>1.0</v>
      </c>
      <c r="O24" s="15"/>
      <c r="P24" s="16">
        <v>44165.63375</v>
      </c>
      <c r="Q24" s="10" t="s">
        <v>112</v>
      </c>
      <c r="R24" s="10" t="s">
        <v>113</v>
      </c>
      <c r="S24" s="12" t="s">
        <v>114</v>
      </c>
      <c r="T24" s="11"/>
      <c r="U24" s="17" t="str">
        <f>HYPERLINK("https://pbs.twimg.com/profile_images/1353805303909904384/bgw2sGic.jpg","View")</f>
        <v>View</v>
      </c>
      <c r="V24" s="11"/>
      <c r="W24" s="11"/>
      <c r="X24" s="11"/>
      <c r="Y24" s="11"/>
      <c r="Z24" s="11"/>
    </row>
    <row r="25">
      <c r="A25" s="8">
        <v>44219.55983796297</v>
      </c>
      <c r="B25" s="9" t="str">
        <f>HYPERLINK("https://twitter.com/TSUKlMlSHlN","@TSUKlMlSHlN")</f>
        <v>@TSUKlMlSHlN</v>
      </c>
      <c r="C25" s="10" t="s">
        <v>115</v>
      </c>
      <c r="D25" s="10" t="s">
        <v>116</v>
      </c>
      <c r="E25" s="9" t="str">
        <f>HYPERLINK("https://twitter.com/TSUKlMlSHlN/status/1353091681009197057","1353091681009197057")</f>
        <v>1353091681009197057</v>
      </c>
      <c r="F25" s="11"/>
      <c r="G25" s="11"/>
      <c r="H25" s="11"/>
      <c r="I25" s="13">
        <v>0.0</v>
      </c>
      <c r="J25" s="13">
        <v>0.0</v>
      </c>
      <c r="K25" s="9" t="str">
        <f>HYPERLINK("https://mobile.twitter.com","Twitter Web App")</f>
        <v>Twitter Web App</v>
      </c>
      <c r="L25" s="14">
        <v>180.0</v>
      </c>
      <c r="M25" s="14">
        <v>232.0</v>
      </c>
      <c r="N25" s="14">
        <v>3.0</v>
      </c>
      <c r="O25" s="15"/>
      <c r="P25" s="16">
        <v>44176.48826388889</v>
      </c>
      <c r="Q25" s="10" t="s">
        <v>117</v>
      </c>
      <c r="R25" s="10" t="s">
        <v>118</v>
      </c>
      <c r="S25" s="12" t="s">
        <v>119</v>
      </c>
      <c r="T25" s="11"/>
      <c r="U25" s="17" t="str">
        <f>HYPERLINK("https://pbs.twimg.com/profile_images/1352752090083373056/nRQZuh1A.png","View")</f>
        <v>View</v>
      </c>
      <c r="V25" s="11"/>
      <c r="W25" s="11"/>
      <c r="X25" s="11"/>
      <c r="Y25" s="11"/>
      <c r="Z25" s="11"/>
    </row>
    <row r="26">
      <c r="A26" s="8">
        <v>44219.45527777778</v>
      </c>
      <c r="B26" s="9" t="str">
        <f>HYPERLINK("https://twitter.com/guillo_con_nes","@guillo_con_nes")</f>
        <v>@guillo_con_nes</v>
      </c>
      <c r="C26" s="10" t="s">
        <v>120</v>
      </c>
      <c r="D26" s="10" t="s">
        <v>121</v>
      </c>
      <c r="E26" s="9" t="str">
        <f>HYPERLINK("https://twitter.com/guillo_con_nes/status/1353053787519283200","1353053787519283200")</f>
        <v>1353053787519283200</v>
      </c>
      <c r="F26" s="11"/>
      <c r="G26" s="12" t="s">
        <v>122</v>
      </c>
      <c r="H26" s="11"/>
      <c r="I26" s="13">
        <v>0.0</v>
      </c>
      <c r="J26" s="13">
        <v>62.0</v>
      </c>
      <c r="K26" s="9" t="str">
        <f t="shared" ref="K26:K28" si="6">HYPERLINK("http://twitter.com/download/android","Twitter for Android")</f>
        <v>Twitter for Android</v>
      </c>
      <c r="L26" s="14">
        <v>253.0</v>
      </c>
      <c r="M26" s="14">
        <v>715.0</v>
      </c>
      <c r="N26" s="14">
        <v>0.0</v>
      </c>
      <c r="O26" s="15"/>
      <c r="P26" s="16">
        <v>44069.688321759255</v>
      </c>
      <c r="Q26" s="10" t="s">
        <v>123</v>
      </c>
      <c r="R26" s="10" t="s">
        <v>124</v>
      </c>
      <c r="S26" s="12" t="s">
        <v>125</v>
      </c>
      <c r="T26" s="11"/>
      <c r="U26" s="17" t="str">
        <f>HYPERLINK("https://pbs.twimg.com/profile_images/1347620951157071876/8fBd2ihe.jpg","View")</f>
        <v>View</v>
      </c>
      <c r="V26" s="11"/>
      <c r="W26" s="11"/>
      <c r="X26" s="11"/>
      <c r="Y26" s="11"/>
      <c r="Z26" s="11"/>
    </row>
    <row r="27">
      <c r="A27" s="8">
        <v>44219.4415625</v>
      </c>
      <c r="B27" s="9" t="str">
        <f>HYPERLINK("https://twitter.com/pe0livo","@pe0livo")</f>
        <v>@pe0livo</v>
      </c>
      <c r="C27" s="10" t="s">
        <v>126</v>
      </c>
      <c r="D27" s="10" t="s">
        <v>127</v>
      </c>
      <c r="E27" s="9" t="str">
        <f>HYPERLINK("https://twitter.com/pe0livo/status/1353048818493878273","1353048818493878273")</f>
        <v>1353048818493878273</v>
      </c>
      <c r="F27" s="11"/>
      <c r="G27" s="11"/>
      <c r="H27" s="11"/>
      <c r="I27" s="13">
        <v>4.0</v>
      </c>
      <c r="J27" s="13">
        <v>18.0</v>
      </c>
      <c r="K27" s="9" t="str">
        <f t="shared" si="6"/>
        <v>Twitter for Android</v>
      </c>
      <c r="L27" s="14">
        <v>2833.0</v>
      </c>
      <c r="M27" s="14">
        <v>87.0</v>
      </c>
      <c r="N27" s="14">
        <v>11.0</v>
      </c>
      <c r="O27" s="15"/>
      <c r="P27" s="16">
        <v>42453.55396990741</v>
      </c>
      <c r="Q27" s="11"/>
      <c r="R27" s="10" t="s">
        <v>128</v>
      </c>
      <c r="S27" s="11"/>
      <c r="T27" s="11"/>
      <c r="U27" s="17" t="str">
        <f>HYPERLINK("https://pbs.twimg.com/profile_images/1347369345849176064/wEsOcuIu.jpg","View")</f>
        <v>View</v>
      </c>
      <c r="V27" s="11"/>
      <c r="W27" s="11"/>
      <c r="X27" s="11"/>
      <c r="Y27" s="11"/>
      <c r="Z27" s="11"/>
    </row>
    <row r="28">
      <c r="A28" s="8">
        <v>44219.42074074074</v>
      </c>
      <c r="B28" s="9" t="str">
        <f>HYPERLINK("https://twitter.com/piruja_el","@piruja_el")</f>
        <v>@piruja_el</v>
      </c>
      <c r="C28" s="10" t="s">
        <v>70</v>
      </c>
      <c r="D28" s="10" t="s">
        <v>129</v>
      </c>
      <c r="E28" s="9" t="str">
        <f>HYPERLINK("https://twitter.com/piruja_el/status/1353041273561743360","1353041273561743360")</f>
        <v>1353041273561743360</v>
      </c>
      <c r="F28" s="11"/>
      <c r="G28" s="11"/>
      <c r="H28" s="11"/>
      <c r="I28" s="13">
        <v>2.0</v>
      </c>
      <c r="J28" s="13">
        <v>0.0</v>
      </c>
      <c r="K28" s="9" t="str">
        <f t="shared" si="6"/>
        <v>Twitter for Android</v>
      </c>
      <c r="L28" s="14">
        <v>4529.0</v>
      </c>
      <c r="M28" s="14">
        <v>4605.0</v>
      </c>
      <c r="N28" s="14">
        <v>0.0</v>
      </c>
      <c r="O28" s="15"/>
      <c r="P28" s="16">
        <v>43926.419583333336</v>
      </c>
      <c r="Q28" s="11"/>
      <c r="R28" s="10" t="s">
        <v>72</v>
      </c>
      <c r="S28" s="11"/>
      <c r="T28" s="11"/>
      <c r="U28" s="17" t="str">
        <f>HYPERLINK("https://pbs.twimg.com/profile_images/1247192610453716993/BVpiaavv.jpg","View")</f>
        <v>View</v>
      </c>
      <c r="V28" s="11"/>
      <c r="W28" s="11"/>
      <c r="X28" s="11"/>
      <c r="Y28" s="11"/>
      <c r="Z28" s="11"/>
    </row>
    <row r="29">
      <c r="A29" s="8">
        <v>44218.85332175926</v>
      </c>
      <c r="B29" s="9" t="str">
        <f>HYPERLINK("https://twitter.com/mileycyrusja","@mileycyrusja")</f>
        <v>@mileycyrusja</v>
      </c>
      <c r="C29" s="10" t="s">
        <v>130</v>
      </c>
      <c r="D29" s="10" t="s">
        <v>131</v>
      </c>
      <c r="E29" s="9" t="str">
        <f>HYPERLINK("https://twitter.com/mileycyrusja/status/1352835648521170945","1352835648521170945")</f>
        <v>1352835648521170945</v>
      </c>
      <c r="F29" s="11"/>
      <c r="G29" s="11"/>
      <c r="H29" s="11"/>
      <c r="I29" s="13">
        <v>0.0</v>
      </c>
      <c r="J29" s="13">
        <v>0.0</v>
      </c>
      <c r="K29" s="9" t="str">
        <f>HYPERLINK("http://twitter.com/download/iphone","Twitter for iPhone")</f>
        <v>Twitter for iPhone</v>
      </c>
      <c r="L29" s="14">
        <v>294.0</v>
      </c>
      <c r="M29" s="14">
        <v>419.0</v>
      </c>
      <c r="N29" s="14">
        <v>1.0</v>
      </c>
      <c r="O29" s="15"/>
      <c r="P29" s="16">
        <v>40979.663877314815</v>
      </c>
      <c r="Q29" s="11"/>
      <c r="R29" s="10" t="s">
        <v>132</v>
      </c>
      <c r="S29" s="11"/>
      <c r="T29" s="11"/>
      <c r="U29" s="17" t="str">
        <f>HYPERLINK("https://pbs.twimg.com/profile_images/1340037669775032320/K06BvR4d.jpg","View")</f>
        <v>View</v>
      </c>
      <c r="V29" s="11"/>
      <c r="W29" s="11"/>
      <c r="X29" s="11"/>
      <c r="Y29" s="11"/>
      <c r="Z29" s="11"/>
    </row>
    <row r="30">
      <c r="A30" s="8">
        <v>44218.808692129634</v>
      </c>
      <c r="B30" s="9" t="str">
        <f>HYPERLINK("https://twitter.com/_mineee1","@_mineee1")</f>
        <v>@_mineee1</v>
      </c>
      <c r="C30" s="10" t="s">
        <v>133</v>
      </c>
      <c r="D30" s="10" t="s">
        <v>134</v>
      </c>
      <c r="E30" s="9" t="str">
        <f>HYPERLINK("https://twitter.com/_mineee1/status/1352819474936844289","1352819474936844289")</f>
        <v>1352819474936844289</v>
      </c>
      <c r="F30" s="11"/>
      <c r="G30" s="11"/>
      <c r="H30" s="11"/>
      <c r="I30" s="13">
        <v>2.0</v>
      </c>
      <c r="J30" s="13">
        <v>73.0</v>
      </c>
      <c r="K30" s="9" t="str">
        <f>HYPERLINK("http://twitter.com/download/android","Twitter for Android")</f>
        <v>Twitter for Android</v>
      </c>
      <c r="L30" s="14">
        <v>5837.0</v>
      </c>
      <c r="M30" s="14">
        <v>286.0</v>
      </c>
      <c r="N30" s="14">
        <v>9.0</v>
      </c>
      <c r="O30" s="15"/>
      <c r="P30" s="16">
        <v>41140.71063657408</v>
      </c>
      <c r="Q30" s="11"/>
      <c r="R30" s="10" t="s">
        <v>135</v>
      </c>
      <c r="S30" s="12" t="s">
        <v>136</v>
      </c>
      <c r="T30" s="11"/>
      <c r="U30" s="17" t="str">
        <f>HYPERLINK("https://pbs.twimg.com/profile_images/1341411897816592391/BefLUijf.jpg","View")</f>
        <v>View</v>
      </c>
      <c r="V30" s="11"/>
      <c r="W30" s="11"/>
      <c r="X30" s="11"/>
      <c r="Y30" s="11"/>
      <c r="Z30" s="11"/>
    </row>
    <row r="31">
      <c r="A31" s="8">
        <v>44218.7400462963</v>
      </c>
      <c r="B31" s="9" t="str">
        <f>HYPERLINK("https://twitter.com/_mariee______","@_mariee______")</f>
        <v>@_mariee______</v>
      </c>
      <c r="C31" s="10" t="s">
        <v>137</v>
      </c>
      <c r="D31" s="10" t="s">
        <v>138</v>
      </c>
      <c r="E31" s="9" t="str">
        <f>HYPERLINK("https://twitter.com/_mariee______/status/1352794595797643265","1352794595797643265")</f>
        <v>1352794595797643265</v>
      </c>
      <c r="F31" s="11"/>
      <c r="G31" s="11"/>
      <c r="H31" s="11"/>
      <c r="I31" s="13">
        <v>0.0</v>
      </c>
      <c r="J31" s="13">
        <v>2.0</v>
      </c>
      <c r="K31" s="9" t="str">
        <f>HYPERLINK("http://twitter.com/download/iphone","Twitter for iPhone")</f>
        <v>Twitter for iPhone</v>
      </c>
      <c r="L31" s="14">
        <v>172.0</v>
      </c>
      <c r="M31" s="14">
        <v>177.0</v>
      </c>
      <c r="N31" s="14">
        <v>0.0</v>
      </c>
      <c r="O31" s="15"/>
      <c r="P31" s="16">
        <v>43146.77135416667</v>
      </c>
      <c r="Q31" s="10" t="s">
        <v>139</v>
      </c>
      <c r="R31" s="10" t="s">
        <v>140</v>
      </c>
      <c r="S31" s="11"/>
      <c r="T31" s="11"/>
      <c r="U31" s="17" t="str">
        <f>HYPERLINK("https://pbs.twimg.com/profile_images/1351049173286719489/lOZX1LsX.jpg","View")</f>
        <v>View</v>
      </c>
      <c r="V31" s="11"/>
      <c r="W31" s="11"/>
      <c r="X31" s="11"/>
      <c r="Y31" s="11"/>
      <c r="Z31" s="11"/>
    </row>
    <row r="32">
      <c r="A32" s="8">
        <v>44218.68686342593</v>
      </c>
      <c r="B32" s="9" t="str">
        <f>HYPERLINK("https://twitter.com/KarlaFernandaf8","@KarlaFernandaf8")</f>
        <v>@KarlaFernandaf8</v>
      </c>
      <c r="C32" s="10" t="s">
        <v>141</v>
      </c>
      <c r="D32" s="10" t="s">
        <v>142</v>
      </c>
      <c r="E32" s="9" t="str">
        <f>HYPERLINK("https://twitter.com/KarlaFernandaf8/status/1352775324082253830","1352775324082253830")</f>
        <v>1352775324082253830</v>
      </c>
      <c r="F32" s="11"/>
      <c r="G32" s="11"/>
      <c r="H32" s="11"/>
      <c r="I32" s="13">
        <v>0.0</v>
      </c>
      <c r="J32" s="13">
        <v>3.0</v>
      </c>
      <c r="K32" s="9" t="str">
        <f t="shared" ref="K32:K36" si="7">HYPERLINK("http://twitter.com/download/android","Twitter for Android")</f>
        <v>Twitter for Android</v>
      </c>
      <c r="L32" s="14">
        <v>35.0</v>
      </c>
      <c r="M32" s="14">
        <v>45.0</v>
      </c>
      <c r="N32" s="14">
        <v>0.0</v>
      </c>
      <c r="O32" s="15"/>
      <c r="P32" s="16">
        <v>44034.560428240744</v>
      </c>
      <c r="Q32" s="11"/>
      <c r="R32" s="10" t="s">
        <v>143</v>
      </c>
      <c r="S32" s="11"/>
      <c r="T32" s="11"/>
      <c r="U32" s="17" t="str">
        <f>HYPERLINK("https://pbs.twimg.com/profile_images/1286035335315562496/5ZT38B57.jpg","View")</f>
        <v>View</v>
      </c>
      <c r="V32" s="11"/>
      <c r="W32" s="11"/>
      <c r="X32" s="11"/>
      <c r="Y32" s="11"/>
      <c r="Z32" s="11"/>
    </row>
    <row r="33">
      <c r="A33" s="8">
        <v>44218.668391203704</v>
      </c>
      <c r="B33" s="9" t="str">
        <f>HYPERLINK("https://twitter.com/Borja9607","@Borja9607")</f>
        <v>@Borja9607</v>
      </c>
      <c r="C33" s="10" t="s">
        <v>144</v>
      </c>
      <c r="D33" s="10" t="s">
        <v>145</v>
      </c>
      <c r="E33" s="9" t="str">
        <f>HYPERLINK("https://twitter.com/Borja9607/status/1352768629457227777","1352768629457227777")</f>
        <v>1352768629457227777</v>
      </c>
      <c r="F33" s="11"/>
      <c r="G33" s="12" t="s">
        <v>146</v>
      </c>
      <c r="H33" s="11"/>
      <c r="I33" s="13">
        <v>0.0</v>
      </c>
      <c r="J33" s="13">
        <v>2.0</v>
      </c>
      <c r="K33" s="9" t="str">
        <f t="shared" si="7"/>
        <v>Twitter for Android</v>
      </c>
      <c r="L33" s="14">
        <v>1028.0</v>
      </c>
      <c r="M33" s="14">
        <v>656.0</v>
      </c>
      <c r="N33" s="14">
        <v>4.0</v>
      </c>
      <c r="O33" s="15"/>
      <c r="P33" s="16">
        <v>40659.40896990741</v>
      </c>
      <c r="Q33" s="10" t="s">
        <v>147</v>
      </c>
      <c r="R33" s="10" t="s">
        <v>148</v>
      </c>
      <c r="S33" s="12" t="s">
        <v>149</v>
      </c>
      <c r="T33" s="11"/>
      <c r="U33" s="17" t="str">
        <f>HYPERLINK("https://pbs.twimg.com/profile_images/1186756064005513217/7m_ay4g5.jpg","View")</f>
        <v>View</v>
      </c>
      <c r="V33" s="11"/>
      <c r="W33" s="11"/>
      <c r="X33" s="11"/>
      <c r="Y33" s="11"/>
      <c r="Z33" s="11"/>
    </row>
    <row r="34">
      <c r="A34" s="8">
        <v>44218.66798611111</v>
      </c>
      <c r="B34" s="9" t="str">
        <f>HYPERLINK("https://twitter.com/OVS1990","@OVS1990")</f>
        <v>@OVS1990</v>
      </c>
      <c r="C34" s="10" t="s">
        <v>150</v>
      </c>
      <c r="D34" s="10" t="s">
        <v>151</v>
      </c>
      <c r="E34" s="9" t="str">
        <f>HYPERLINK("https://twitter.com/OVS1990/status/1352768483000373248","1352768483000373248")</f>
        <v>1352768483000373248</v>
      </c>
      <c r="F34" s="11"/>
      <c r="G34" s="11"/>
      <c r="H34" s="11"/>
      <c r="I34" s="13">
        <v>0.0</v>
      </c>
      <c r="J34" s="13">
        <v>3.0</v>
      </c>
      <c r="K34" s="9" t="str">
        <f t="shared" si="7"/>
        <v>Twitter for Android</v>
      </c>
      <c r="L34" s="14">
        <v>641.0</v>
      </c>
      <c r="M34" s="14">
        <v>69.0</v>
      </c>
      <c r="N34" s="14">
        <v>2.0</v>
      </c>
      <c r="O34" s="15"/>
      <c r="P34" s="16">
        <v>43895.90908564815</v>
      </c>
      <c r="Q34" s="10" t="s">
        <v>152</v>
      </c>
      <c r="R34" s="10" t="s">
        <v>153</v>
      </c>
      <c r="S34" s="12" t="s">
        <v>154</v>
      </c>
      <c r="T34" s="11"/>
      <c r="U34" s="17" t="str">
        <f>HYPERLINK("https://pbs.twimg.com/profile_images/1352373326698708992/XlmApQDc.jpg","View")</f>
        <v>View</v>
      </c>
      <c r="V34" s="11"/>
      <c r="W34" s="11"/>
      <c r="X34" s="11"/>
      <c r="Y34" s="11"/>
      <c r="Z34" s="11"/>
    </row>
    <row r="35">
      <c r="A35" s="8">
        <v>44218.663136574076</v>
      </c>
      <c r="B35" s="9" t="str">
        <f>HYPERLINK("https://twitter.com/RichardLoodbrok","@RichardLoodbrok")</f>
        <v>@RichardLoodbrok</v>
      </c>
      <c r="C35" s="10" t="s">
        <v>155</v>
      </c>
      <c r="D35" s="10" t="s">
        <v>156</v>
      </c>
      <c r="E35" s="9" t="str">
        <f>HYPERLINK("https://twitter.com/RichardLoodbrok/status/1352766727482957825","1352766727482957825")</f>
        <v>1352766727482957825</v>
      </c>
      <c r="F35" s="11"/>
      <c r="G35" s="12" t="s">
        <v>157</v>
      </c>
      <c r="H35" s="11"/>
      <c r="I35" s="13">
        <v>0.0</v>
      </c>
      <c r="J35" s="13">
        <v>1.0</v>
      </c>
      <c r="K35" s="9" t="str">
        <f t="shared" si="7"/>
        <v>Twitter for Android</v>
      </c>
      <c r="L35" s="14">
        <v>352.0</v>
      </c>
      <c r="M35" s="14">
        <v>740.0</v>
      </c>
      <c r="N35" s="14">
        <v>0.0</v>
      </c>
      <c r="O35" s="15"/>
      <c r="P35" s="16">
        <v>44087.62368055555</v>
      </c>
      <c r="Q35" s="11"/>
      <c r="R35" s="10" t="s">
        <v>158</v>
      </c>
      <c r="S35" s="11"/>
      <c r="T35" s="11"/>
      <c r="U35" s="17" t="str">
        <f>HYPERLINK("https://pbs.twimg.com/profile_images/1352082311827886083/K2rktNmz.jpg","View")</f>
        <v>View</v>
      </c>
      <c r="V35" s="11"/>
      <c r="W35" s="11"/>
      <c r="X35" s="11"/>
      <c r="Y35" s="11"/>
      <c r="Z35" s="11"/>
    </row>
    <row r="36">
      <c r="A36" s="8">
        <v>44218.625439814816</v>
      </c>
      <c r="B36" s="9" t="str">
        <f>HYPERLINK("https://twitter.com/MisterFru","@MisterFru")</f>
        <v>@MisterFru</v>
      </c>
      <c r="C36" s="10" t="s">
        <v>159</v>
      </c>
      <c r="D36" s="10" t="s">
        <v>160</v>
      </c>
      <c r="E36" s="9" t="str">
        <f>HYPERLINK("https://twitter.com/MisterFru/status/1352753065942769666","1352753065942769666")</f>
        <v>1352753065942769666</v>
      </c>
      <c r="F36" s="11"/>
      <c r="G36" s="11"/>
      <c r="H36" s="11"/>
      <c r="I36" s="13">
        <v>0.0</v>
      </c>
      <c r="J36" s="13">
        <v>5.0</v>
      </c>
      <c r="K36" s="9" t="str">
        <f t="shared" si="7"/>
        <v>Twitter for Android</v>
      </c>
      <c r="L36" s="14">
        <v>596.0</v>
      </c>
      <c r="M36" s="14">
        <v>837.0</v>
      </c>
      <c r="N36" s="14">
        <v>1.0</v>
      </c>
      <c r="O36" s="15"/>
      <c r="P36" s="16">
        <v>42836.09300925926</v>
      </c>
      <c r="Q36" s="10" t="s">
        <v>161</v>
      </c>
      <c r="R36" s="10" t="s">
        <v>162</v>
      </c>
      <c r="S36" s="12" t="s">
        <v>163</v>
      </c>
      <c r="T36" s="11"/>
      <c r="U36" s="17" t="str">
        <f>HYPERLINK("https://pbs.twimg.com/profile_images/1329803603289251841/59OrxPtY.jpg","View")</f>
        <v>View</v>
      </c>
      <c r="V36" s="11"/>
      <c r="W36" s="11"/>
      <c r="X36" s="11"/>
      <c r="Y36" s="11"/>
      <c r="Z36" s="11"/>
    </row>
    <row r="37">
      <c r="A37" s="8">
        <v>44218.61486111111</v>
      </c>
      <c r="B37" s="9" t="str">
        <f>HYPERLINK("https://twitter.com/AdriEG19","@AdriEG19")</f>
        <v>@AdriEG19</v>
      </c>
      <c r="C37" s="10" t="s">
        <v>164</v>
      </c>
      <c r="D37" s="10" t="s">
        <v>165</v>
      </c>
      <c r="E37" s="9" t="str">
        <f>HYPERLINK("https://twitter.com/AdriEG19/status/1352749233359695872","1352749233359695872")</f>
        <v>1352749233359695872</v>
      </c>
      <c r="F37" s="11"/>
      <c r="G37" s="12" t="s">
        <v>166</v>
      </c>
      <c r="H37" s="11"/>
      <c r="I37" s="13">
        <v>0.0</v>
      </c>
      <c r="J37" s="13">
        <v>5.0</v>
      </c>
      <c r="K37" s="9" t="str">
        <f>HYPERLINK("http://twitter.com/download/iphone","Twitter for iPhone")</f>
        <v>Twitter for iPhone</v>
      </c>
      <c r="L37" s="14">
        <v>1445.0</v>
      </c>
      <c r="M37" s="14">
        <v>968.0</v>
      </c>
      <c r="N37" s="14">
        <v>38.0</v>
      </c>
      <c r="O37" s="15"/>
      <c r="P37" s="16">
        <v>41322.1749537037</v>
      </c>
      <c r="Q37" s="11"/>
      <c r="R37" s="10" t="s">
        <v>167</v>
      </c>
      <c r="S37" s="12" t="s">
        <v>168</v>
      </c>
      <c r="T37" s="11"/>
      <c r="U37" s="17" t="str">
        <f>HYPERLINK("https://pbs.twimg.com/profile_images/1338463823389478913/CUhka2jk.jpg","View")</f>
        <v>View</v>
      </c>
      <c r="V37" s="11"/>
      <c r="W37" s="11"/>
      <c r="X37" s="11"/>
      <c r="Y37" s="11"/>
      <c r="Z37" s="11"/>
    </row>
    <row r="38">
      <c r="A38" s="8">
        <v>44218.54079861111</v>
      </c>
      <c r="B38" s="9" t="str">
        <f>HYPERLINK("https://twitter.com/PabloSe18619145","@PabloSe18619145")</f>
        <v>@PabloSe18619145</v>
      </c>
      <c r="C38" s="10" t="s">
        <v>169</v>
      </c>
      <c r="D38" s="10" t="s">
        <v>170</v>
      </c>
      <c r="E38" s="9" t="str">
        <f>HYPERLINK("https://twitter.com/PabloSe18619145/status/1352722392045522944","1352722392045522944")</f>
        <v>1352722392045522944</v>
      </c>
      <c r="F38" s="11"/>
      <c r="G38" s="12" t="s">
        <v>171</v>
      </c>
      <c r="H38" s="11"/>
      <c r="I38" s="13">
        <v>0.0</v>
      </c>
      <c r="J38" s="13">
        <v>0.0</v>
      </c>
      <c r="K38" s="9" t="str">
        <f t="shared" ref="K38:K41" si="8">HYPERLINK("http://twitter.com/download/android","Twitter for Android")</f>
        <v>Twitter for Android</v>
      </c>
      <c r="L38" s="14">
        <v>5.0</v>
      </c>
      <c r="M38" s="14">
        <v>56.0</v>
      </c>
      <c r="N38" s="14">
        <v>0.0</v>
      </c>
      <c r="O38" s="15"/>
      <c r="P38" s="16">
        <v>43499.80459490741</v>
      </c>
      <c r="Q38" s="11"/>
      <c r="R38" s="10" t="s">
        <v>172</v>
      </c>
      <c r="S38" s="11"/>
      <c r="T38" s="11"/>
      <c r="U38" s="17" t="str">
        <f>HYPERLINK("https://pbs.twimg.com/profile_images/1352720859807567873/AwNS52e8.jpg","View")</f>
        <v>View</v>
      </c>
      <c r="V38" s="11"/>
      <c r="W38" s="11"/>
      <c r="X38" s="11"/>
      <c r="Y38" s="11"/>
      <c r="Z38" s="11"/>
    </row>
    <row r="39">
      <c r="A39" s="8">
        <v>44218.28457175926</v>
      </c>
      <c r="B39" s="9" t="str">
        <f>HYPERLINK("https://twitter.com/ZWAROZKY_35","@ZWAROZKY_35")</f>
        <v>@ZWAROZKY_35</v>
      </c>
      <c r="C39" s="10" t="s">
        <v>173</v>
      </c>
      <c r="D39" s="10" t="s">
        <v>174</v>
      </c>
      <c r="E39" s="9" t="str">
        <f>HYPERLINK("https://twitter.com/ZWAROZKY_35/status/1352629540233863168","1352629540233863168")</f>
        <v>1352629540233863168</v>
      </c>
      <c r="F39" s="11"/>
      <c r="G39" s="11"/>
      <c r="H39" s="11"/>
      <c r="I39" s="13">
        <v>4.0</v>
      </c>
      <c r="J39" s="13">
        <v>93.0</v>
      </c>
      <c r="K39" s="9" t="str">
        <f t="shared" si="8"/>
        <v>Twitter for Android</v>
      </c>
      <c r="L39" s="14">
        <v>15396.0</v>
      </c>
      <c r="M39" s="14">
        <v>493.0</v>
      </c>
      <c r="N39" s="14">
        <v>30.0</v>
      </c>
      <c r="O39" s="15"/>
      <c r="P39" s="16">
        <v>41599.80601851852</v>
      </c>
      <c r="Q39" s="10" t="s">
        <v>175</v>
      </c>
      <c r="R39" s="10" t="s">
        <v>176</v>
      </c>
      <c r="S39" s="11"/>
      <c r="T39" s="11"/>
      <c r="U39" s="17" t="str">
        <f>HYPERLINK("https://pbs.twimg.com/profile_images/1342712609389170688/McyuOxuX.jpg","View")</f>
        <v>View</v>
      </c>
      <c r="V39" s="11"/>
      <c r="W39" s="11"/>
      <c r="X39" s="11"/>
      <c r="Y39" s="11"/>
      <c r="Z39" s="11"/>
    </row>
    <row r="40">
      <c r="A40" s="8">
        <v>44218.23310185185</v>
      </c>
      <c r="B40" s="9" t="str">
        <f>HYPERLINK("https://twitter.com/_quilattesalv","@_quilattesalv")</f>
        <v>@_quilattesalv</v>
      </c>
      <c r="C40" s="10" t="s">
        <v>177</v>
      </c>
      <c r="D40" s="10" t="s">
        <v>178</v>
      </c>
      <c r="E40" s="9" t="str">
        <f>HYPERLINK("https://twitter.com/_quilattesalv/status/1352610889363578883","1352610889363578883")</f>
        <v>1352610889363578883</v>
      </c>
      <c r="F40" s="11"/>
      <c r="G40" s="11"/>
      <c r="H40" s="11"/>
      <c r="I40" s="13">
        <v>0.0</v>
      </c>
      <c r="J40" s="13">
        <v>2.0</v>
      </c>
      <c r="K40" s="9" t="str">
        <f t="shared" si="8"/>
        <v>Twitter for Android</v>
      </c>
      <c r="L40" s="14">
        <v>259.0</v>
      </c>
      <c r="M40" s="14">
        <v>204.0</v>
      </c>
      <c r="N40" s="14">
        <v>6.0</v>
      </c>
      <c r="O40" s="15"/>
      <c r="P40" s="16">
        <v>44174.764652777776</v>
      </c>
      <c r="Q40" s="10" t="s">
        <v>179</v>
      </c>
      <c r="R40" s="10" t="s">
        <v>180</v>
      </c>
      <c r="S40" s="12" t="s">
        <v>181</v>
      </c>
      <c r="T40" s="11"/>
      <c r="U40" s="17" t="str">
        <f>HYPERLINK("https://pbs.twimg.com/profile_images/1351232702628982786/CHU0P9B3.jpg","View")</f>
        <v>View</v>
      </c>
      <c r="V40" s="11"/>
      <c r="W40" s="11"/>
      <c r="X40" s="11"/>
      <c r="Y40" s="11"/>
      <c r="Z40" s="11"/>
    </row>
    <row r="41">
      <c r="A41" s="8">
        <v>44218.023240740746</v>
      </c>
      <c r="B41" s="9" t="str">
        <f>HYPERLINK("https://twitter.com/AkagamiAlex98","@AkagamiAlex98")</f>
        <v>@AkagamiAlex98</v>
      </c>
      <c r="C41" s="10" t="s">
        <v>182</v>
      </c>
      <c r="D41" s="10" t="s">
        <v>183</v>
      </c>
      <c r="E41" s="9" t="str">
        <f>HYPERLINK("https://twitter.com/AkagamiAlex98/status/1352534836326653953","1352534836326653953")</f>
        <v>1352534836326653953</v>
      </c>
      <c r="F41" s="11"/>
      <c r="G41" s="11"/>
      <c r="H41" s="11"/>
      <c r="I41" s="13">
        <v>0.0</v>
      </c>
      <c r="J41" s="13">
        <v>1.0</v>
      </c>
      <c r="K41" s="9" t="str">
        <f t="shared" si="8"/>
        <v>Twitter for Android</v>
      </c>
      <c r="L41" s="14">
        <v>155.0</v>
      </c>
      <c r="M41" s="14">
        <v>712.0</v>
      </c>
      <c r="N41" s="14">
        <v>4.0</v>
      </c>
      <c r="O41" s="15"/>
      <c r="P41" s="16">
        <v>42894.52039351852</v>
      </c>
      <c r="Q41" s="10" t="s">
        <v>184</v>
      </c>
      <c r="R41" s="10" t="s">
        <v>185</v>
      </c>
      <c r="S41" s="12" t="s">
        <v>186</v>
      </c>
      <c r="T41" s="11"/>
      <c r="U41" s="17" t="str">
        <f>HYPERLINK("https://pbs.twimg.com/profile_images/1350641578541514753/_I_0pR2N.jpg","View")</f>
        <v>View</v>
      </c>
      <c r="V41" s="11"/>
      <c r="W41" s="11"/>
      <c r="X41" s="11"/>
      <c r="Y41" s="11"/>
      <c r="Z41" s="11"/>
    </row>
    <row r="42">
      <c r="A42" s="8">
        <v>44217.96505787037</v>
      </c>
      <c r="B42" s="9" t="str">
        <f>HYPERLINK("https://twitter.com/AletsImbert","@AletsImbert")</f>
        <v>@AletsImbert</v>
      </c>
      <c r="C42" s="10" t="s">
        <v>187</v>
      </c>
      <c r="D42" s="10" t="s">
        <v>188</v>
      </c>
      <c r="E42" s="9" t="str">
        <f>HYPERLINK("https://twitter.com/AletsImbert/status/1352513751694647296","1352513751694647296")</f>
        <v>1352513751694647296</v>
      </c>
      <c r="F42" s="12" t="s">
        <v>189</v>
      </c>
      <c r="G42" s="11"/>
      <c r="H42" s="11"/>
      <c r="I42" s="13">
        <v>0.0</v>
      </c>
      <c r="J42" s="13">
        <v>0.0</v>
      </c>
      <c r="K42" s="9" t="str">
        <f>HYPERLINK("http://www.tweetcaster.com","TweetCaster for Android")</f>
        <v>TweetCaster for Android</v>
      </c>
      <c r="L42" s="14">
        <v>212.0</v>
      </c>
      <c r="M42" s="14">
        <v>266.0</v>
      </c>
      <c r="N42" s="14">
        <v>6.0</v>
      </c>
      <c r="O42" s="15"/>
      <c r="P42" s="16">
        <v>40116.832766203705</v>
      </c>
      <c r="Q42" s="11"/>
      <c r="R42" s="10" t="s">
        <v>190</v>
      </c>
      <c r="S42" s="11"/>
      <c r="T42" s="11"/>
      <c r="U42" s="17" t="str">
        <f>HYPERLINK("https://pbs.twimg.com/profile_images/378800000100754761/15ca1e4646006279e34adc3d20de68de.jpeg","View")</f>
        <v>View</v>
      </c>
      <c r="V42" s="11"/>
      <c r="W42" s="11"/>
      <c r="X42" s="11"/>
      <c r="Y42" s="11"/>
      <c r="Z42" s="11"/>
    </row>
    <row r="43">
      <c r="A43" s="8">
        <v>44217.77342592593</v>
      </c>
      <c r="B43" s="9" t="str">
        <f>HYPERLINK("https://twitter.com/Bmachinee","@Bmachinee")</f>
        <v>@Bmachinee</v>
      </c>
      <c r="C43" s="10" t="s">
        <v>191</v>
      </c>
      <c r="D43" s="10" t="s">
        <v>192</v>
      </c>
      <c r="E43" s="9" t="str">
        <f>HYPERLINK("https://twitter.com/Bmachinee/status/1352444306657689601","1352444306657689601")</f>
        <v>1352444306657689601</v>
      </c>
      <c r="F43" s="11"/>
      <c r="G43" s="12" t="s">
        <v>193</v>
      </c>
      <c r="H43" s="11"/>
      <c r="I43" s="13">
        <v>3.0</v>
      </c>
      <c r="J43" s="13">
        <v>14.0</v>
      </c>
      <c r="K43" s="9" t="str">
        <f>HYPERLINK("http://twitter.com/download/iphone","Twitter for iPhone")</f>
        <v>Twitter for iPhone</v>
      </c>
      <c r="L43" s="14">
        <v>723.0</v>
      </c>
      <c r="M43" s="14">
        <v>922.0</v>
      </c>
      <c r="N43" s="14">
        <v>5.0</v>
      </c>
      <c r="O43" s="15"/>
      <c r="P43" s="16">
        <v>40030.47734953704</v>
      </c>
      <c r="Q43" s="10" t="s">
        <v>194</v>
      </c>
      <c r="R43" s="10" t="s">
        <v>195</v>
      </c>
      <c r="S43" s="12" t="s">
        <v>196</v>
      </c>
      <c r="T43" s="11"/>
      <c r="U43" s="17" t="str">
        <f>HYPERLINK("https://pbs.twimg.com/profile_images/1275177137113231360/9ukTyyP4.jpg","View")</f>
        <v>View</v>
      </c>
      <c r="V43" s="11"/>
      <c r="W43" s="11"/>
      <c r="X43" s="11"/>
      <c r="Y43" s="11"/>
      <c r="Z43" s="11"/>
    </row>
    <row r="44">
      <c r="A44" s="8">
        <v>44217.752916666665</v>
      </c>
      <c r="B44" s="9" t="str">
        <f>HYPERLINK("https://twitter.com/IamAlejoAguilar","@IamAlejoAguilar")</f>
        <v>@IamAlejoAguilar</v>
      </c>
      <c r="C44" s="10" t="s">
        <v>197</v>
      </c>
      <c r="D44" s="10" t="s">
        <v>198</v>
      </c>
      <c r="E44" s="9" t="str">
        <f>HYPERLINK("https://twitter.com/IamAlejoAguilar/status/1352436875584282627","1352436875584282627")</f>
        <v>1352436875584282627</v>
      </c>
      <c r="F44" s="11"/>
      <c r="G44" s="11"/>
      <c r="H44" s="11"/>
      <c r="I44" s="13">
        <v>0.0</v>
      </c>
      <c r="J44" s="13">
        <v>1.0</v>
      </c>
      <c r="K44" s="9" t="str">
        <f t="shared" ref="K44:K47" si="9">HYPERLINK("http://twitter.com/download/android","Twitter for Android")</f>
        <v>Twitter for Android</v>
      </c>
      <c r="L44" s="14">
        <v>536.0</v>
      </c>
      <c r="M44" s="14">
        <v>2188.0</v>
      </c>
      <c r="N44" s="14">
        <v>0.0</v>
      </c>
      <c r="O44" s="15"/>
      <c r="P44" s="16">
        <v>43029.67920138889</v>
      </c>
      <c r="Q44" s="10" t="s">
        <v>199</v>
      </c>
      <c r="R44" s="10" t="s">
        <v>200</v>
      </c>
      <c r="S44" s="11"/>
      <c r="T44" s="11"/>
      <c r="U44" s="17" t="str">
        <f>HYPERLINK("https://pbs.twimg.com/profile_images/1344941544168697856/71wMG5Ta.jpg","View")</f>
        <v>View</v>
      </c>
      <c r="V44" s="11"/>
      <c r="W44" s="11"/>
      <c r="X44" s="11"/>
      <c r="Y44" s="11"/>
      <c r="Z44" s="11"/>
    </row>
    <row r="45">
      <c r="A45" s="8">
        <v>44217.68121527778</v>
      </c>
      <c r="B45" s="9" t="str">
        <f>HYPERLINK("https://twitter.com/ninotchkas","@ninotchkas")</f>
        <v>@ninotchkas</v>
      </c>
      <c r="C45" s="10" t="s">
        <v>201</v>
      </c>
      <c r="D45" s="10" t="s">
        <v>202</v>
      </c>
      <c r="E45" s="9" t="str">
        <f>HYPERLINK("https://twitter.com/ninotchkas/status/1352410890558189568","1352410890558189568")</f>
        <v>1352410890558189568</v>
      </c>
      <c r="F45" s="12" t="s">
        <v>203</v>
      </c>
      <c r="G45" s="12" t="s">
        <v>204</v>
      </c>
      <c r="H45" s="11"/>
      <c r="I45" s="13">
        <v>0.0</v>
      </c>
      <c r="J45" s="13">
        <v>0.0</v>
      </c>
      <c r="K45" s="9" t="str">
        <f t="shared" si="9"/>
        <v>Twitter for Android</v>
      </c>
      <c r="L45" s="14">
        <v>83.0</v>
      </c>
      <c r="M45" s="14">
        <v>317.0</v>
      </c>
      <c r="N45" s="14">
        <v>1.0</v>
      </c>
      <c r="O45" s="15"/>
      <c r="P45" s="16">
        <v>40743.50957175926</v>
      </c>
      <c r="Q45" s="10" t="s">
        <v>205</v>
      </c>
      <c r="R45" s="10" t="s">
        <v>206</v>
      </c>
      <c r="S45" s="11"/>
      <c r="T45" s="11"/>
      <c r="U45" s="17" t="str">
        <f>HYPERLINK("https://pbs.twimg.com/profile_images/1213734548867039233/4TmaUpK-.jpg","View")</f>
        <v>View</v>
      </c>
      <c r="V45" s="11"/>
      <c r="W45" s="11"/>
      <c r="X45" s="11"/>
      <c r="Y45" s="11"/>
      <c r="Z45" s="11"/>
    </row>
    <row r="46">
      <c r="A46" s="8">
        <v>44217.659363425926</v>
      </c>
      <c r="B46" s="9" t="str">
        <f>HYPERLINK("https://twitter.com/larapponcio","@larapponcio")</f>
        <v>@larapponcio</v>
      </c>
      <c r="C46" s="10" t="s">
        <v>207</v>
      </c>
      <c r="D46" s="10" t="s">
        <v>208</v>
      </c>
      <c r="E46" s="9" t="str">
        <f>HYPERLINK("https://twitter.com/larapponcio/status/1352402973574443009","1352402973574443009")</f>
        <v>1352402973574443009</v>
      </c>
      <c r="F46" s="11"/>
      <c r="G46" s="11"/>
      <c r="H46" s="11"/>
      <c r="I46" s="13">
        <v>0.0</v>
      </c>
      <c r="J46" s="13">
        <v>1.0</v>
      </c>
      <c r="K46" s="9" t="str">
        <f t="shared" si="9"/>
        <v>Twitter for Android</v>
      </c>
      <c r="L46" s="14">
        <v>105.0</v>
      </c>
      <c r="M46" s="14">
        <v>87.0</v>
      </c>
      <c r="N46" s="14">
        <v>1.0</v>
      </c>
      <c r="O46" s="15"/>
      <c r="P46" s="16">
        <v>42455.794444444444</v>
      </c>
      <c r="Q46" s="11"/>
      <c r="R46" s="10" t="s">
        <v>209</v>
      </c>
      <c r="S46" s="12" t="s">
        <v>210</v>
      </c>
      <c r="T46" s="11"/>
      <c r="U46" s="17" t="str">
        <f>HYPERLINK("https://pbs.twimg.com/profile_images/1323448547568689154/k_sexd8Y.jpg","View")</f>
        <v>View</v>
      </c>
      <c r="V46" s="11"/>
      <c r="W46" s="11"/>
      <c r="X46" s="11"/>
      <c r="Y46" s="11"/>
      <c r="Z46" s="11"/>
    </row>
    <row r="47">
      <c r="A47" s="8">
        <v>44217.653067129635</v>
      </c>
      <c r="B47" s="9" t="str">
        <f>HYPERLINK("https://twitter.com/Quinadelart","@Quinadelart")</f>
        <v>@Quinadelart</v>
      </c>
      <c r="C47" s="10" t="s">
        <v>211</v>
      </c>
      <c r="D47" s="10" t="s">
        <v>212</v>
      </c>
      <c r="E47" s="9" t="str">
        <f>HYPERLINK("https://twitter.com/Quinadelart/status/1352400687997530112","1352400687997530112")</f>
        <v>1352400687997530112</v>
      </c>
      <c r="F47" s="11"/>
      <c r="G47" s="12" t="s">
        <v>213</v>
      </c>
      <c r="H47" s="11"/>
      <c r="I47" s="13">
        <v>1.0</v>
      </c>
      <c r="J47" s="13">
        <v>14.0</v>
      </c>
      <c r="K47" s="9" t="str">
        <f t="shared" si="9"/>
        <v>Twitter for Android</v>
      </c>
      <c r="L47" s="14">
        <v>1942.0</v>
      </c>
      <c r="M47" s="14">
        <v>2212.0</v>
      </c>
      <c r="N47" s="14">
        <v>29.0</v>
      </c>
      <c r="O47" s="15"/>
      <c r="P47" s="16">
        <v>41868.815567129626</v>
      </c>
      <c r="Q47" s="10" t="s">
        <v>214</v>
      </c>
      <c r="R47" s="10" t="s">
        <v>215</v>
      </c>
      <c r="S47" s="12" t="s">
        <v>216</v>
      </c>
      <c r="T47" s="11"/>
      <c r="U47" s="17" t="str">
        <f>HYPERLINK("https://pbs.twimg.com/profile_images/1350476257260163074/sc2AZmLn.jpg","View")</f>
        <v>View</v>
      </c>
      <c r="V47" s="11"/>
      <c r="W47" s="11"/>
      <c r="X47" s="11"/>
      <c r="Y47" s="11"/>
      <c r="Z47" s="11"/>
    </row>
    <row r="48">
      <c r="A48" s="8">
        <v>44217.628645833334</v>
      </c>
      <c r="B48" s="9" t="str">
        <f>HYPERLINK("https://twitter.com/Isabelveuu","@Isabelveuu")</f>
        <v>@Isabelveuu</v>
      </c>
      <c r="C48" s="10" t="s">
        <v>217</v>
      </c>
      <c r="D48" s="10" t="s">
        <v>218</v>
      </c>
      <c r="E48" s="9" t="str">
        <f>HYPERLINK("https://twitter.com/Isabelveuu/status/1352391839907799043","1352391839907799043")</f>
        <v>1352391839907799043</v>
      </c>
      <c r="F48" s="11"/>
      <c r="G48" s="11"/>
      <c r="H48" s="11"/>
      <c r="I48" s="13">
        <v>0.0</v>
      </c>
      <c r="J48" s="13">
        <v>1.0</v>
      </c>
      <c r="K48" s="9" t="str">
        <f t="shared" ref="K48:K50" si="10">HYPERLINK("http://twitter.com/download/iphone","Twitter for iPhone")</f>
        <v>Twitter for iPhone</v>
      </c>
      <c r="L48" s="14">
        <v>113.0</v>
      </c>
      <c r="M48" s="14">
        <v>128.0</v>
      </c>
      <c r="N48" s="14">
        <v>0.0</v>
      </c>
      <c r="O48" s="15"/>
      <c r="P48" s="16">
        <v>44161.158692129626</v>
      </c>
      <c r="Q48" s="11"/>
      <c r="R48" s="10" t="s">
        <v>219</v>
      </c>
      <c r="S48" s="11"/>
      <c r="T48" s="11"/>
      <c r="U48" s="17" t="str">
        <f>HYPERLINK("https://pbs.twimg.com/profile_images/1331928225375776769/yXHA9EXc.jpg","View")</f>
        <v>View</v>
      </c>
      <c r="V48" s="11"/>
      <c r="W48" s="11"/>
      <c r="X48" s="11"/>
      <c r="Y48" s="11"/>
      <c r="Z48" s="11"/>
    </row>
    <row r="49">
      <c r="A49" s="8">
        <v>44217.61721064815</v>
      </c>
      <c r="B49" s="9" t="str">
        <f>HYPERLINK("https://twitter.com/mapofnormani","@mapofnormani")</f>
        <v>@mapofnormani</v>
      </c>
      <c r="C49" s="10" t="s">
        <v>220</v>
      </c>
      <c r="D49" s="10" t="s">
        <v>221</v>
      </c>
      <c r="E49" s="9" t="str">
        <f>HYPERLINK("https://twitter.com/mapofnormani/status/1352387696388419587","1352387696388419587")</f>
        <v>1352387696388419587</v>
      </c>
      <c r="F49" s="11"/>
      <c r="G49" s="11"/>
      <c r="H49" s="11"/>
      <c r="I49" s="13">
        <v>0.0</v>
      </c>
      <c r="J49" s="13">
        <v>0.0</v>
      </c>
      <c r="K49" s="9" t="str">
        <f t="shared" si="10"/>
        <v>Twitter for iPhone</v>
      </c>
      <c r="L49" s="14">
        <v>306.0</v>
      </c>
      <c r="M49" s="14">
        <v>288.0</v>
      </c>
      <c r="N49" s="14">
        <v>26.0</v>
      </c>
      <c r="O49" s="15"/>
      <c r="P49" s="16">
        <v>43537.65672453704</v>
      </c>
      <c r="Q49" s="10" t="s">
        <v>222</v>
      </c>
      <c r="R49" s="10" t="s">
        <v>223</v>
      </c>
      <c r="S49" s="12" t="s">
        <v>224</v>
      </c>
      <c r="T49" s="11"/>
      <c r="U49" s="17" t="str">
        <f>HYPERLINK("https://pbs.twimg.com/profile_images/1344783375392010244/qL7YfL8q.jpg","View")</f>
        <v>View</v>
      </c>
      <c r="V49" s="11"/>
      <c r="W49" s="11"/>
      <c r="X49" s="11"/>
      <c r="Y49" s="11"/>
      <c r="Z49" s="11"/>
    </row>
    <row r="50">
      <c r="A50" s="8">
        <v>44217.608715277776</v>
      </c>
      <c r="B50" s="9" t="str">
        <f>HYPERLINK("https://twitter.com/isii_sfC","@isii_sfC")</f>
        <v>@isii_sfC</v>
      </c>
      <c r="C50" s="10" t="s">
        <v>225</v>
      </c>
      <c r="D50" s="10" t="s">
        <v>226</v>
      </c>
      <c r="E50" s="9" t="str">
        <f>HYPERLINK("https://twitter.com/isii_sfC/status/1352384619325362176","1352384619325362176")</f>
        <v>1352384619325362176</v>
      </c>
      <c r="F50" s="11"/>
      <c r="G50" s="11"/>
      <c r="H50" s="11"/>
      <c r="I50" s="13">
        <v>0.0</v>
      </c>
      <c r="J50" s="13">
        <v>0.0</v>
      </c>
      <c r="K50" s="9" t="str">
        <f t="shared" si="10"/>
        <v>Twitter for iPhone</v>
      </c>
      <c r="L50" s="14">
        <v>892.0</v>
      </c>
      <c r="M50" s="14">
        <v>464.0</v>
      </c>
      <c r="N50" s="14">
        <v>1.0</v>
      </c>
      <c r="O50" s="15"/>
      <c r="P50" s="16">
        <v>40737.778333333335</v>
      </c>
      <c r="Q50" s="11"/>
      <c r="R50" s="10" t="s">
        <v>227</v>
      </c>
      <c r="S50" s="11"/>
      <c r="T50" s="11"/>
      <c r="U50" s="17" t="str">
        <f>HYPERLINK("https://pbs.twimg.com/profile_images/1036558329827471360/xoTmoc8g.jpg","View")</f>
        <v>View</v>
      </c>
      <c r="V50" s="11"/>
      <c r="W50" s="11"/>
      <c r="X50" s="11"/>
      <c r="Y50" s="11"/>
      <c r="Z50" s="11"/>
    </row>
    <row r="51">
      <c r="A51" s="8">
        <v>44217.562743055554</v>
      </c>
      <c r="B51" s="9" t="str">
        <f>HYPERLINK("https://twitter.com/mariooyolo","@mariooyolo")</f>
        <v>@mariooyolo</v>
      </c>
      <c r="C51" s="10" t="s">
        <v>228</v>
      </c>
      <c r="D51" s="10" t="s">
        <v>229</v>
      </c>
      <c r="E51" s="9" t="str">
        <f>HYPERLINK("https://twitter.com/mariooyolo/status/1352367956727095297","1352367956727095297")</f>
        <v>1352367956727095297</v>
      </c>
      <c r="F51" s="11"/>
      <c r="G51" s="11"/>
      <c r="H51" s="11"/>
      <c r="I51" s="13">
        <v>0.0</v>
      </c>
      <c r="J51" s="13">
        <v>5.0</v>
      </c>
      <c r="K51" s="9" t="str">
        <f t="shared" ref="K51:K52" si="11">HYPERLINK("http://twitter.com/download/android","Twitter for Android")</f>
        <v>Twitter for Android</v>
      </c>
      <c r="L51" s="14">
        <v>57.0</v>
      </c>
      <c r="M51" s="14">
        <v>71.0</v>
      </c>
      <c r="N51" s="14">
        <v>0.0</v>
      </c>
      <c r="O51" s="15"/>
      <c r="P51" s="16">
        <v>43915.368622685186</v>
      </c>
      <c r="Q51" s="10" t="s">
        <v>230</v>
      </c>
      <c r="R51" s="10" t="s">
        <v>231</v>
      </c>
      <c r="S51" s="11"/>
      <c r="T51" s="11"/>
      <c r="U51" s="17" t="str">
        <f>HYPERLINK("https://pbs.twimg.com/profile_images/1340126720930754562/3bjA2Bxu.jpg","View")</f>
        <v>View</v>
      </c>
      <c r="V51" s="11"/>
      <c r="W51" s="11"/>
      <c r="X51" s="11"/>
      <c r="Y51" s="11"/>
      <c r="Z51" s="11"/>
    </row>
    <row r="52">
      <c r="A52" s="8">
        <v>44217.38564814815</v>
      </c>
      <c r="B52" s="9" t="str">
        <f>HYPERLINK("https://twitter.com/Papelerita2","@Papelerita2")</f>
        <v>@Papelerita2</v>
      </c>
      <c r="C52" s="10" t="s">
        <v>232</v>
      </c>
      <c r="D52" s="10" t="s">
        <v>233</v>
      </c>
      <c r="E52" s="9" t="str">
        <f>HYPERLINK("https://twitter.com/Papelerita2/status/1352303780340125702","1352303780340125702")</f>
        <v>1352303780340125702</v>
      </c>
      <c r="F52" s="12" t="s">
        <v>234</v>
      </c>
      <c r="G52" s="12" t="s">
        <v>235</v>
      </c>
      <c r="H52" s="11"/>
      <c r="I52" s="13">
        <v>1.0</v>
      </c>
      <c r="J52" s="13">
        <v>7.0</v>
      </c>
      <c r="K52" s="9" t="str">
        <f t="shared" si="11"/>
        <v>Twitter for Android</v>
      </c>
      <c r="L52" s="14">
        <v>68.0</v>
      </c>
      <c r="M52" s="14">
        <v>153.0</v>
      </c>
      <c r="N52" s="14">
        <v>2.0</v>
      </c>
      <c r="O52" s="15"/>
      <c r="P52" s="16">
        <v>43876.44248842592</v>
      </c>
      <c r="Q52" s="11"/>
      <c r="R52" s="11"/>
      <c r="S52" s="11"/>
      <c r="T52" s="11"/>
      <c r="U52" s="17" t="str">
        <f>HYPERLINK("https://pbs.twimg.com/profile_images/1228750626299006976/TtyXzEpa.jpg","View")</f>
        <v>View</v>
      </c>
      <c r="V52" s="11"/>
      <c r="W52" s="11"/>
      <c r="X52" s="11"/>
      <c r="Y52" s="11"/>
      <c r="Z52" s="11"/>
    </row>
    <row r="53">
      <c r="A53" s="8">
        <v>44217.248206018514</v>
      </c>
      <c r="B53" s="9" t="str">
        <f>HYPERLINK("https://twitter.com/Dan_ifa","@Dan_ifa")</f>
        <v>@Dan_ifa</v>
      </c>
      <c r="C53" s="10" t="s">
        <v>236</v>
      </c>
      <c r="D53" s="10" t="s">
        <v>237</v>
      </c>
      <c r="E53" s="9" t="str">
        <f>HYPERLINK("https://twitter.com/Dan_ifa/status/1352253974477381633","1352253974477381633")</f>
        <v>1352253974477381633</v>
      </c>
      <c r="F53" s="10" t="s">
        <v>238</v>
      </c>
      <c r="G53" s="11"/>
      <c r="H53" s="11"/>
      <c r="I53" s="13">
        <v>1.0</v>
      </c>
      <c r="J53" s="13">
        <v>29.0</v>
      </c>
      <c r="K53" s="9" t="str">
        <f>HYPERLINK("https://mobile.twitter.com","Twitter Web App")</f>
        <v>Twitter Web App</v>
      </c>
      <c r="L53" s="14">
        <v>460.0</v>
      </c>
      <c r="M53" s="14">
        <v>239.0</v>
      </c>
      <c r="N53" s="14">
        <v>2.0</v>
      </c>
      <c r="O53" s="15"/>
      <c r="P53" s="16">
        <v>43959.44688657408</v>
      </c>
      <c r="Q53" s="10" t="s">
        <v>239</v>
      </c>
      <c r="R53" s="10" t="s">
        <v>240</v>
      </c>
      <c r="S53" s="12" t="s">
        <v>241</v>
      </c>
      <c r="T53" s="11"/>
      <c r="U53" s="17" t="str">
        <f>HYPERLINK("https://pbs.twimg.com/profile_images/1314773196940296193/cawuX0U9.jpg","View")</f>
        <v>View</v>
      </c>
      <c r="V53" s="11"/>
      <c r="W53" s="11"/>
      <c r="X53" s="11"/>
      <c r="Y53" s="11"/>
      <c r="Z53" s="11"/>
    </row>
    <row r="54">
      <c r="A54" s="8">
        <v>44216.93760416667</v>
      </c>
      <c r="B54" s="9" t="str">
        <f>HYPERLINK("https://twitter.com/piruja_oops","@piruja_oops")</f>
        <v>@piruja_oops</v>
      </c>
      <c r="C54" s="10" t="s">
        <v>242</v>
      </c>
      <c r="D54" s="10" t="s">
        <v>243</v>
      </c>
      <c r="E54" s="9" t="str">
        <f>HYPERLINK("https://twitter.com/piruja_oops/status/1352141414717509634","1352141414717509634")</f>
        <v>1352141414717509634</v>
      </c>
      <c r="F54" s="11"/>
      <c r="G54" s="12" t="s">
        <v>244</v>
      </c>
      <c r="H54" s="11"/>
      <c r="I54" s="13">
        <v>0.0</v>
      </c>
      <c r="J54" s="13">
        <v>11.0</v>
      </c>
      <c r="K54" s="9" t="str">
        <f>HYPERLINK("http://twitter.com/download/iphone","Twitter for iPhone")</f>
        <v>Twitter for iPhone</v>
      </c>
      <c r="L54" s="14">
        <v>148.0</v>
      </c>
      <c r="M54" s="14">
        <v>129.0</v>
      </c>
      <c r="N54" s="14">
        <v>2.0</v>
      </c>
      <c r="O54" s="15"/>
      <c r="P54" s="16">
        <v>41710.749756944446</v>
      </c>
      <c r="Q54" s="10" t="s">
        <v>245</v>
      </c>
      <c r="R54" s="10" t="s">
        <v>246</v>
      </c>
      <c r="S54" s="11"/>
      <c r="T54" s="11"/>
      <c r="U54" s="17" t="str">
        <f>HYPERLINK("https://pbs.twimg.com/profile_images/1350387393052905476/YbMZqzYk.jpg","View")</f>
        <v>View</v>
      </c>
      <c r="V54" s="11"/>
      <c r="W54" s="11"/>
      <c r="X54" s="11"/>
      <c r="Y54" s="11"/>
      <c r="Z54" s="11"/>
    </row>
    <row r="55">
      <c r="A55" s="8">
        <v>44216.86309027778</v>
      </c>
      <c r="B55" s="9" t="str">
        <f>HYPERLINK("https://twitter.com/Curvaz3","@Curvaz3")</f>
        <v>@Curvaz3</v>
      </c>
      <c r="C55" s="10" t="s">
        <v>247</v>
      </c>
      <c r="D55" s="10" t="s">
        <v>248</v>
      </c>
      <c r="E55" s="9" t="str">
        <f>HYPERLINK("https://twitter.com/Curvaz3/status/1352114411717218307","1352114411717218307")</f>
        <v>1352114411717218307</v>
      </c>
      <c r="F55" s="12" t="s">
        <v>249</v>
      </c>
      <c r="G55" s="11"/>
      <c r="H55" s="11"/>
      <c r="I55" s="13">
        <v>0.0</v>
      </c>
      <c r="J55" s="13">
        <v>2.0</v>
      </c>
      <c r="K55" s="9" t="str">
        <f t="shared" ref="K55:K58" si="12">HYPERLINK("http://twitter.com/download/android","Twitter for Android")</f>
        <v>Twitter for Android</v>
      </c>
      <c r="L55" s="14">
        <v>299.0</v>
      </c>
      <c r="M55" s="14">
        <v>442.0</v>
      </c>
      <c r="N55" s="14">
        <v>0.0</v>
      </c>
      <c r="O55" s="15"/>
      <c r="P55" s="16">
        <v>44151.41916666667</v>
      </c>
      <c r="Q55" s="10" t="s">
        <v>250</v>
      </c>
      <c r="R55" s="10" t="s">
        <v>251</v>
      </c>
      <c r="S55" s="11"/>
      <c r="T55" s="11"/>
      <c r="U55" s="17" t="str">
        <f>HYPERLINK("https://pbs.twimg.com/profile_images/1342507925705797632/kmIAb4WG.jpg","View")</f>
        <v>View</v>
      </c>
      <c r="V55" s="11"/>
      <c r="W55" s="11"/>
      <c r="X55" s="11"/>
      <c r="Y55" s="11"/>
      <c r="Z55" s="11"/>
    </row>
    <row r="56">
      <c r="A56" s="8">
        <v>44216.81349537037</v>
      </c>
      <c r="B56" s="9" t="str">
        <f>HYPERLINK("https://twitter.com/alexsandra0305","@alexsandra0305")</f>
        <v>@alexsandra0305</v>
      </c>
      <c r="C56" s="10" t="s">
        <v>252</v>
      </c>
      <c r="D56" s="10" t="s">
        <v>253</v>
      </c>
      <c r="E56" s="9" t="str">
        <f>HYPERLINK("https://twitter.com/alexsandra0305/status/1352096440131137538","1352096440131137538")</f>
        <v>1352096440131137538</v>
      </c>
      <c r="F56" s="11"/>
      <c r="G56" s="12" t="s">
        <v>254</v>
      </c>
      <c r="H56" s="11"/>
      <c r="I56" s="13">
        <v>0.0</v>
      </c>
      <c r="J56" s="13">
        <v>2.0</v>
      </c>
      <c r="K56" s="9" t="str">
        <f t="shared" si="12"/>
        <v>Twitter for Android</v>
      </c>
      <c r="L56" s="14">
        <v>124.0</v>
      </c>
      <c r="M56" s="14">
        <v>118.0</v>
      </c>
      <c r="N56" s="14">
        <v>0.0</v>
      </c>
      <c r="O56" s="15"/>
      <c r="P56" s="16">
        <v>42796.173125</v>
      </c>
      <c r="Q56" s="11"/>
      <c r="R56" s="10" t="s">
        <v>255</v>
      </c>
      <c r="S56" s="11"/>
      <c r="T56" s="11"/>
      <c r="U56" s="17" t="str">
        <f>HYPERLINK("https://pbs.twimg.com/profile_images/1350216050311192578/3B-fUahB.jpg","View")</f>
        <v>View</v>
      </c>
      <c r="V56" s="11"/>
      <c r="W56" s="11"/>
      <c r="X56" s="11"/>
      <c r="Y56" s="11"/>
      <c r="Z56" s="11"/>
    </row>
    <row r="57">
      <c r="A57" s="8">
        <v>44216.77386574074</v>
      </c>
      <c r="B57" s="9" t="str">
        <f>HYPERLINK("https://twitter.com/cinthiaxpaulson","@cinthiaxpaulson")</f>
        <v>@cinthiaxpaulson</v>
      </c>
      <c r="C57" s="10" t="s">
        <v>256</v>
      </c>
      <c r="D57" s="10" t="s">
        <v>257</v>
      </c>
      <c r="E57" s="9" t="str">
        <f>HYPERLINK("https://twitter.com/cinthiaxpaulson/status/1352082077022351360","1352082077022351360")</f>
        <v>1352082077022351360</v>
      </c>
      <c r="F57" s="11"/>
      <c r="G57" s="11"/>
      <c r="H57" s="11"/>
      <c r="I57" s="13">
        <v>0.0</v>
      </c>
      <c r="J57" s="13">
        <v>1.0</v>
      </c>
      <c r="K57" s="9" t="str">
        <f t="shared" si="12"/>
        <v>Twitter for Android</v>
      </c>
      <c r="L57" s="14">
        <v>295.0</v>
      </c>
      <c r="M57" s="14">
        <v>310.0</v>
      </c>
      <c r="N57" s="14">
        <v>2.0</v>
      </c>
      <c r="O57" s="15"/>
      <c r="P57" s="16">
        <v>44092.48967592593</v>
      </c>
      <c r="Q57" s="11"/>
      <c r="R57" s="10" t="s">
        <v>258</v>
      </c>
      <c r="S57" s="11"/>
      <c r="T57" s="11"/>
      <c r="U57" s="17" t="str">
        <f>HYPERLINK("https://pbs.twimg.com/profile_images/1329596459465977856/cYS1vnFj.jpg","View")</f>
        <v>View</v>
      </c>
      <c r="V57" s="11"/>
      <c r="W57" s="11"/>
      <c r="X57" s="11"/>
      <c r="Y57" s="11"/>
      <c r="Z57" s="11"/>
    </row>
    <row r="58">
      <c r="A58" s="8">
        <v>44216.59415509259</v>
      </c>
      <c r="B58" s="9" t="str">
        <f>HYPERLINK("https://twitter.com/NegritoQMP","@NegritoQMP")</f>
        <v>@NegritoQMP</v>
      </c>
      <c r="C58" s="10" t="s">
        <v>259</v>
      </c>
      <c r="D58" s="10" t="s">
        <v>260</v>
      </c>
      <c r="E58" s="9" t="str">
        <f>HYPERLINK("https://twitter.com/NegritoQMP/status/1352016954152919040","1352016954152919040")</f>
        <v>1352016954152919040</v>
      </c>
      <c r="F58" s="11"/>
      <c r="G58" s="12" t="s">
        <v>261</v>
      </c>
      <c r="H58" s="11"/>
      <c r="I58" s="13">
        <v>0.0</v>
      </c>
      <c r="J58" s="13">
        <v>0.0</v>
      </c>
      <c r="K58" s="9" t="str">
        <f t="shared" si="12"/>
        <v>Twitter for Android</v>
      </c>
      <c r="L58" s="14">
        <v>1364.0</v>
      </c>
      <c r="M58" s="14">
        <v>1350.0</v>
      </c>
      <c r="N58" s="14">
        <v>2.0</v>
      </c>
      <c r="O58" s="15"/>
      <c r="P58" s="16">
        <v>43755.77150462963</v>
      </c>
      <c r="Q58" s="11"/>
      <c r="R58" s="10" t="s">
        <v>262</v>
      </c>
      <c r="S58" s="11"/>
      <c r="T58" s="11"/>
      <c r="U58" s="17" t="str">
        <f>HYPERLINK("https://pbs.twimg.com/profile_images/1219828755885064192/ZnfQLcQ8.jpg","View")</f>
        <v>View</v>
      </c>
      <c r="V58" s="11"/>
      <c r="W58" s="11"/>
      <c r="X58" s="11"/>
      <c r="Y58" s="11"/>
      <c r="Z58" s="11"/>
    </row>
    <row r="59">
      <c r="A59" s="8">
        <v>44216.496516203704</v>
      </c>
      <c r="B59" s="9" t="str">
        <f>HYPERLINK("https://twitter.com/KEV_VALLADARES","@KEV_VALLADARES")</f>
        <v>@KEV_VALLADARES</v>
      </c>
      <c r="C59" s="10" t="s">
        <v>263</v>
      </c>
      <c r="D59" s="10" t="s">
        <v>264</v>
      </c>
      <c r="E59" s="9" t="str">
        <f>HYPERLINK("https://twitter.com/KEV_VALLADARES/status/1351981570903650310","1351981570903650310")</f>
        <v>1351981570903650310</v>
      </c>
      <c r="F59" s="12" t="s">
        <v>265</v>
      </c>
      <c r="G59" s="12" t="s">
        <v>266</v>
      </c>
      <c r="H59" s="11"/>
      <c r="I59" s="13">
        <v>0.0</v>
      </c>
      <c r="J59" s="13">
        <v>102.0</v>
      </c>
      <c r="K59" s="9" t="str">
        <f>HYPERLINK("http://twitter.com/download/iphone","Twitter for iPhone")</f>
        <v>Twitter for iPhone</v>
      </c>
      <c r="L59" s="14">
        <v>3651.0</v>
      </c>
      <c r="M59" s="14">
        <v>593.0</v>
      </c>
      <c r="N59" s="14">
        <v>3.0</v>
      </c>
      <c r="O59" s="15"/>
      <c r="P59" s="16">
        <v>41056.527812500004</v>
      </c>
      <c r="Q59" s="10" t="s">
        <v>267</v>
      </c>
      <c r="R59" s="10" t="s">
        <v>268</v>
      </c>
      <c r="S59" s="12" t="s">
        <v>269</v>
      </c>
      <c r="T59" s="11"/>
      <c r="U59" s="17" t="str">
        <f>HYPERLINK("https://pbs.twimg.com/profile_images/1344688251525877760/i02bgsRh.jpg","View")</f>
        <v>View</v>
      </c>
      <c r="V59" s="11"/>
      <c r="W59" s="11"/>
      <c r="X59" s="11"/>
      <c r="Y59" s="11"/>
      <c r="Z59" s="11"/>
    </row>
    <row r="60">
      <c r="A60" s="8">
        <v>44216.48712962963</v>
      </c>
      <c r="B60" s="9" t="str">
        <f>HYPERLINK("https://twitter.com/Ulrico04809306","@Ulrico04809306")</f>
        <v>@Ulrico04809306</v>
      </c>
      <c r="C60" s="10" t="s">
        <v>270</v>
      </c>
      <c r="D60" s="10" t="s">
        <v>271</v>
      </c>
      <c r="E60" s="9" t="str">
        <f>HYPERLINK("https://twitter.com/Ulrico04809306/status/1351978170292035585","1351978170292035585")</f>
        <v>1351978170292035585</v>
      </c>
      <c r="F60" s="10" t="s">
        <v>272</v>
      </c>
      <c r="G60" s="11"/>
      <c r="H60" s="11"/>
      <c r="I60" s="13">
        <v>0.0</v>
      </c>
      <c r="J60" s="13">
        <v>1.0</v>
      </c>
      <c r="K60" s="9" t="str">
        <f>HYPERLINK("https://mobile.twitter.com","Twitter Web App")</f>
        <v>Twitter Web App</v>
      </c>
      <c r="L60" s="14">
        <v>170.0</v>
      </c>
      <c r="M60" s="14">
        <v>699.0</v>
      </c>
      <c r="N60" s="14">
        <v>0.0</v>
      </c>
      <c r="O60" s="15"/>
      <c r="P60" s="16">
        <v>43799.62567129629</v>
      </c>
      <c r="Q60" s="10" t="s">
        <v>273</v>
      </c>
      <c r="R60" s="10" t="s">
        <v>274</v>
      </c>
      <c r="S60" s="11"/>
      <c r="T60" s="11"/>
      <c r="U60" s="17" t="str">
        <f>HYPERLINK("https://pbs.twimg.com/profile_images/1242508400170278914/T0omws-Y.jpg","View")</f>
        <v>View</v>
      </c>
      <c r="V60" s="11"/>
      <c r="W60" s="11"/>
      <c r="X60" s="11"/>
      <c r="Y60" s="11"/>
      <c r="Z60" s="11"/>
    </row>
    <row r="61">
      <c r="A61" s="8">
        <v>44216.46913194444</v>
      </c>
      <c r="B61" s="9" t="str">
        <f>HYPERLINK("https://twitter.com/Potheadgrrrrl","@Potheadgrrrrl")</f>
        <v>@Potheadgrrrrl</v>
      </c>
      <c r="C61" s="10" t="s">
        <v>275</v>
      </c>
      <c r="D61" s="10" t="s">
        <v>276</v>
      </c>
      <c r="E61" s="9" t="str">
        <f>HYPERLINK("https://twitter.com/Potheadgrrrrl/status/1351971644248526848","1351971644248526848")</f>
        <v>1351971644248526848</v>
      </c>
      <c r="F61" s="12" t="s">
        <v>277</v>
      </c>
      <c r="G61" s="12" t="s">
        <v>278</v>
      </c>
      <c r="H61" s="11"/>
      <c r="I61" s="13">
        <v>0.0</v>
      </c>
      <c r="J61" s="13">
        <v>1.0</v>
      </c>
      <c r="K61" s="9" t="str">
        <f>HYPERLINK("http://twitter.com/download/android","Twitter for Android")</f>
        <v>Twitter for Android</v>
      </c>
      <c r="L61" s="14">
        <v>438.0</v>
      </c>
      <c r="M61" s="14">
        <v>366.0</v>
      </c>
      <c r="N61" s="14">
        <v>0.0</v>
      </c>
      <c r="O61" s="15"/>
      <c r="P61" s="16">
        <v>44205.70061342593</v>
      </c>
      <c r="Q61" s="11"/>
      <c r="R61" s="10" t="s">
        <v>279</v>
      </c>
      <c r="S61" s="12" t="s">
        <v>280</v>
      </c>
      <c r="T61" s="11"/>
      <c r="U61" s="17" t="str">
        <f>HYPERLINK("https://pbs.twimg.com/profile_images/1352165071451897856/Pnef6-Ft.jpg","View")</f>
        <v>View</v>
      </c>
      <c r="V61" s="11"/>
      <c r="W61" s="11"/>
      <c r="X61" s="11"/>
      <c r="Y61" s="11"/>
      <c r="Z61" s="11"/>
    </row>
    <row r="62">
      <c r="A62" s="8">
        <v>44216.423171296294</v>
      </c>
      <c r="B62" s="9" t="str">
        <f>HYPERLINK("https://twitter.com/BipolarMiddle","@BipolarMiddle")</f>
        <v>@BipolarMiddle</v>
      </c>
      <c r="C62" s="10" t="s">
        <v>281</v>
      </c>
      <c r="D62" s="10" t="s">
        <v>282</v>
      </c>
      <c r="E62" s="9" t="str">
        <f>HYPERLINK("https://twitter.com/BipolarMiddle/status/1351954991318245377","1351954991318245377")</f>
        <v>1351954991318245377</v>
      </c>
      <c r="F62" s="11"/>
      <c r="G62" s="11"/>
      <c r="H62" s="11"/>
      <c r="I62" s="13">
        <v>3.0</v>
      </c>
      <c r="J62" s="13">
        <v>17.0</v>
      </c>
      <c r="K62" s="9" t="str">
        <f>HYPERLINK("https://mobile.twitter.com","Twitter Web App")</f>
        <v>Twitter Web App</v>
      </c>
      <c r="L62" s="14">
        <v>3514.0</v>
      </c>
      <c r="M62" s="14">
        <v>2273.0</v>
      </c>
      <c r="N62" s="14">
        <v>7.0</v>
      </c>
      <c r="O62" s="15"/>
      <c r="P62" s="16">
        <v>43858.684386574074</v>
      </c>
      <c r="Q62" s="10" t="s">
        <v>283</v>
      </c>
      <c r="R62" s="10" t="s">
        <v>284</v>
      </c>
      <c r="S62" s="11"/>
      <c r="T62" s="11"/>
      <c r="U62" s="17" t="str">
        <f>HYPERLINK("https://pbs.twimg.com/profile_images/1348085198555115521/dbzyM7Vg.jpg","View")</f>
        <v>View</v>
      </c>
      <c r="V62" s="11"/>
      <c r="W62" s="11"/>
      <c r="X62" s="11"/>
      <c r="Y62" s="11"/>
      <c r="Z62" s="11"/>
    </row>
    <row r="63">
      <c r="A63" s="8">
        <v>44216.419085648144</v>
      </c>
      <c r="B63" s="9" t="str">
        <f>HYPERLINK("https://twitter.com/maga_m143","@maga_m143")</f>
        <v>@maga_m143</v>
      </c>
      <c r="C63" s="10" t="s">
        <v>285</v>
      </c>
      <c r="D63" s="10" t="s">
        <v>286</v>
      </c>
      <c r="E63" s="9" t="str">
        <f>HYPERLINK("https://twitter.com/maga_m143/status/1351953511026712579","1351953511026712579")</f>
        <v>1351953511026712579</v>
      </c>
      <c r="F63" s="11"/>
      <c r="G63" s="11"/>
      <c r="H63" s="11"/>
      <c r="I63" s="13">
        <v>0.0</v>
      </c>
      <c r="J63" s="13">
        <v>0.0</v>
      </c>
      <c r="K63" s="9" t="str">
        <f t="shared" ref="K63:K64" si="13">HYPERLINK("http://twitter.com/download/iphone","Twitter for iPhone")</f>
        <v>Twitter for iPhone</v>
      </c>
      <c r="L63" s="14">
        <v>119.0</v>
      </c>
      <c r="M63" s="14">
        <v>145.0</v>
      </c>
      <c r="N63" s="14">
        <v>0.0</v>
      </c>
      <c r="O63" s="15"/>
      <c r="P63" s="16">
        <v>42668.471087962964</v>
      </c>
      <c r="Q63" s="10" t="s">
        <v>287</v>
      </c>
      <c r="R63" s="10" t="s">
        <v>288</v>
      </c>
      <c r="S63" s="11"/>
      <c r="T63" s="11"/>
      <c r="U63" s="17" t="str">
        <f>HYPERLINK("https://pbs.twimg.com/profile_images/1343117908675801088/X1C7XGiT.jpg","View")</f>
        <v>View</v>
      </c>
      <c r="V63" s="11"/>
      <c r="W63" s="11"/>
      <c r="X63" s="11"/>
      <c r="Y63" s="11"/>
      <c r="Z63" s="11"/>
    </row>
    <row r="64">
      <c r="A64" s="8">
        <v>44216.368379629625</v>
      </c>
      <c r="B64" s="9" t="str">
        <f>HYPERLINK("https://twitter.com/LudowicoI","@LudowicoI")</f>
        <v>@LudowicoI</v>
      </c>
      <c r="C64" s="10" t="s">
        <v>289</v>
      </c>
      <c r="D64" s="10" t="s">
        <v>290</v>
      </c>
      <c r="E64" s="9" t="str">
        <f>HYPERLINK("https://twitter.com/LudowicoI/status/1351935134782672898","1351935134782672898")</f>
        <v>1351935134782672898</v>
      </c>
      <c r="F64" s="11"/>
      <c r="G64" s="11"/>
      <c r="H64" s="11"/>
      <c r="I64" s="13">
        <v>0.0</v>
      </c>
      <c r="J64" s="13">
        <v>8.0</v>
      </c>
      <c r="K64" s="9" t="str">
        <f t="shared" si="13"/>
        <v>Twitter for iPhone</v>
      </c>
      <c r="L64" s="14">
        <v>344.0</v>
      </c>
      <c r="M64" s="14">
        <v>1027.0</v>
      </c>
      <c r="N64" s="14">
        <v>0.0</v>
      </c>
      <c r="O64" s="15"/>
      <c r="P64" s="16">
        <v>43900.776342592595</v>
      </c>
      <c r="Q64" s="11"/>
      <c r="R64" s="10" t="s">
        <v>291</v>
      </c>
      <c r="S64" s="11"/>
      <c r="T64" s="11"/>
      <c r="U64" s="17" t="str">
        <f>HYPERLINK("https://pbs.twimg.com/profile_images/1237553888074448896/B1-_xY1p.jpg","View")</f>
        <v>View</v>
      </c>
      <c r="V64" s="11"/>
      <c r="W64" s="11"/>
      <c r="X64" s="11"/>
      <c r="Y64" s="11"/>
      <c r="Z64" s="11"/>
    </row>
    <row r="65">
      <c r="A65" s="8">
        <v>44216.34135416667</v>
      </c>
      <c r="B65" s="9" t="str">
        <f>HYPERLINK("https://twitter.com/piruja_el","@piruja_el")</f>
        <v>@piruja_el</v>
      </c>
      <c r="C65" s="10" t="s">
        <v>70</v>
      </c>
      <c r="D65" s="10" t="s">
        <v>292</v>
      </c>
      <c r="E65" s="9" t="str">
        <f>HYPERLINK("https://twitter.com/piruja_el/status/1351925340994727939","1351925340994727939")</f>
        <v>1351925340994727939</v>
      </c>
      <c r="F65" s="11"/>
      <c r="G65" s="11"/>
      <c r="H65" s="11"/>
      <c r="I65" s="13">
        <v>0.0</v>
      </c>
      <c r="J65" s="13">
        <v>3.0</v>
      </c>
      <c r="K65" s="9" t="str">
        <f t="shared" ref="K65:K68" si="14">HYPERLINK("http://twitter.com/download/android","Twitter for Android")</f>
        <v>Twitter for Android</v>
      </c>
      <c r="L65" s="14">
        <v>4529.0</v>
      </c>
      <c r="M65" s="14">
        <v>4605.0</v>
      </c>
      <c r="N65" s="14">
        <v>0.0</v>
      </c>
      <c r="O65" s="15"/>
      <c r="P65" s="16">
        <v>43926.419583333336</v>
      </c>
      <c r="Q65" s="11"/>
      <c r="R65" s="10" t="s">
        <v>72</v>
      </c>
      <c r="S65" s="11"/>
      <c r="T65" s="11"/>
      <c r="U65" s="17" t="str">
        <f>HYPERLINK("https://pbs.twimg.com/profile_images/1247192610453716993/BVpiaavv.jpg","View")</f>
        <v>View</v>
      </c>
      <c r="V65" s="11"/>
      <c r="W65" s="11"/>
      <c r="X65" s="11"/>
      <c r="Y65" s="11"/>
      <c r="Z65" s="11"/>
    </row>
    <row r="66">
      <c r="A66" s="8">
        <v>44216.26488425926</v>
      </c>
      <c r="B66" s="9" t="str">
        <f>HYPERLINK("https://twitter.com/Cnbsufe","@Cnbsufe")</f>
        <v>@Cnbsufe</v>
      </c>
      <c r="C66" s="10" t="s">
        <v>293</v>
      </c>
      <c r="D66" s="10" t="s">
        <v>294</v>
      </c>
      <c r="E66" s="9" t="str">
        <f>HYPERLINK("https://twitter.com/Cnbsufe/status/1351897627126886402","1351897627126886402")</f>
        <v>1351897627126886402</v>
      </c>
      <c r="F66" s="11"/>
      <c r="G66" s="12" t="s">
        <v>295</v>
      </c>
      <c r="H66" s="11"/>
      <c r="I66" s="13">
        <v>5.0</v>
      </c>
      <c r="J66" s="13">
        <v>59.0</v>
      </c>
      <c r="K66" s="9" t="str">
        <f t="shared" si="14"/>
        <v>Twitter for Android</v>
      </c>
      <c r="L66" s="14">
        <v>84.0</v>
      </c>
      <c r="M66" s="14">
        <v>149.0</v>
      </c>
      <c r="N66" s="14">
        <v>2.0</v>
      </c>
      <c r="O66" s="15"/>
      <c r="P66" s="16">
        <v>41003.45380787037</v>
      </c>
      <c r="Q66" s="10" t="s">
        <v>296</v>
      </c>
      <c r="R66" s="10" t="s">
        <v>297</v>
      </c>
      <c r="S66" s="11"/>
      <c r="T66" s="11"/>
      <c r="U66" s="17" t="str">
        <f>HYPERLINK("https://pbs.twimg.com/profile_images/688770438655291393/nK6XecHz.jpg","View")</f>
        <v>View</v>
      </c>
      <c r="V66" s="11"/>
      <c r="W66" s="11"/>
      <c r="X66" s="11"/>
      <c r="Y66" s="11"/>
      <c r="Z66" s="11"/>
    </row>
    <row r="67">
      <c r="A67" s="8">
        <v>44216.09945601852</v>
      </c>
      <c r="B67" s="9" t="str">
        <f>HYPERLINK("https://twitter.com/Alex33881276","@Alex33881276")</f>
        <v>@Alex33881276</v>
      </c>
      <c r="C67" s="10" t="s">
        <v>298</v>
      </c>
      <c r="D67" s="10" t="s">
        <v>299</v>
      </c>
      <c r="E67" s="9" t="str">
        <f>HYPERLINK("https://twitter.com/Alex33881276/status/1351837680422817792","1351837680422817792")</f>
        <v>1351837680422817792</v>
      </c>
      <c r="F67" s="11"/>
      <c r="G67" s="11"/>
      <c r="H67" s="11"/>
      <c r="I67" s="13">
        <v>1.0</v>
      </c>
      <c r="J67" s="13">
        <v>1.0</v>
      </c>
      <c r="K67" s="9" t="str">
        <f t="shared" si="14"/>
        <v>Twitter for Android</v>
      </c>
      <c r="L67" s="14">
        <v>522.0</v>
      </c>
      <c r="M67" s="14">
        <v>658.0</v>
      </c>
      <c r="N67" s="14">
        <v>0.0</v>
      </c>
      <c r="O67" s="15"/>
      <c r="P67" s="16">
        <v>43515.390914351854</v>
      </c>
      <c r="Q67" s="11"/>
      <c r="R67" s="10" t="s">
        <v>300</v>
      </c>
      <c r="S67" s="11"/>
      <c r="T67" s="11"/>
      <c r="U67" s="17" t="str">
        <f>HYPERLINK("https://pbs.twimg.com/profile_images/1316183641979080705/aqpfa-Rk.jpg","View")</f>
        <v>View</v>
      </c>
      <c r="V67" s="11"/>
      <c r="W67" s="11"/>
      <c r="X67" s="11"/>
      <c r="Y67" s="11"/>
      <c r="Z67" s="11"/>
    </row>
    <row r="68">
      <c r="A68" s="8">
        <v>44216.06377314815</v>
      </c>
      <c r="B68" s="9" t="str">
        <f>HYPERLINK("https://twitter.com/CharlotteG2014","@CharlotteG2014")</f>
        <v>@CharlotteG2014</v>
      </c>
      <c r="C68" s="10" t="s">
        <v>301</v>
      </c>
      <c r="D68" s="10" t="s">
        <v>302</v>
      </c>
      <c r="E68" s="9" t="str">
        <f>HYPERLINK("https://twitter.com/CharlotteG2014/status/1351824750130196483","1351824750130196483")</f>
        <v>1351824750130196483</v>
      </c>
      <c r="F68" s="12" t="s">
        <v>303</v>
      </c>
      <c r="G68" s="12" t="s">
        <v>304</v>
      </c>
      <c r="H68" s="11"/>
      <c r="I68" s="13">
        <v>0.0</v>
      </c>
      <c r="J68" s="13">
        <v>0.0</v>
      </c>
      <c r="K68" s="9" t="str">
        <f t="shared" si="14"/>
        <v>Twitter for Android</v>
      </c>
      <c r="L68" s="14">
        <v>71.0</v>
      </c>
      <c r="M68" s="14">
        <v>1589.0</v>
      </c>
      <c r="N68" s="14">
        <v>1.0</v>
      </c>
      <c r="O68" s="15"/>
      <c r="P68" s="16">
        <v>43075.23087962963</v>
      </c>
      <c r="Q68" s="11"/>
      <c r="R68" s="11"/>
      <c r="S68" s="11"/>
      <c r="T68" s="11"/>
      <c r="U68" s="17" t="str">
        <f>HYPERLINK("https://pbs.twimg.com/profile_images/1348324246859223040/lTFyED7U.jpg","View")</f>
        <v>View</v>
      </c>
      <c r="V68" s="11"/>
      <c r="W68" s="11"/>
      <c r="X68" s="11"/>
      <c r="Y68" s="11"/>
      <c r="Z68" s="11"/>
    </row>
    <row r="69">
      <c r="A69" s="8">
        <v>44215.919594907406</v>
      </c>
      <c r="B69" s="9" t="str">
        <f>HYPERLINK("https://twitter.com/La_bruja_piruja","@La_bruja_piruja")</f>
        <v>@La_bruja_piruja</v>
      </c>
      <c r="C69" s="10" t="s">
        <v>305</v>
      </c>
      <c r="D69" s="10" t="s">
        <v>306</v>
      </c>
      <c r="E69" s="9" t="str">
        <f>HYPERLINK("https://twitter.com/La_bruja_piruja/status/1351772499172847619","1351772499172847619")</f>
        <v>1351772499172847619</v>
      </c>
      <c r="F69" s="11"/>
      <c r="G69" s="11"/>
      <c r="H69" s="11"/>
      <c r="I69" s="13">
        <v>0.0</v>
      </c>
      <c r="J69" s="13">
        <v>1.0</v>
      </c>
      <c r="K69" s="9" t="str">
        <f t="shared" ref="K69:K70" si="15">HYPERLINK("https://mobile.twitter.com","Twitter Web App")</f>
        <v>Twitter Web App</v>
      </c>
      <c r="L69" s="14">
        <v>336.0</v>
      </c>
      <c r="M69" s="14">
        <v>1134.0</v>
      </c>
      <c r="N69" s="14">
        <v>7.0</v>
      </c>
      <c r="O69" s="15"/>
      <c r="P69" s="16">
        <v>40856.86880787037</v>
      </c>
      <c r="Q69" s="11"/>
      <c r="R69" s="11"/>
      <c r="S69" s="11"/>
      <c r="T69" s="11"/>
      <c r="U69" s="17" t="str">
        <f>HYPERLINK("https://pbs.twimg.com/profile_images/378800000399243334/837532f09236749237516c542a04c43e.jpeg","View")</f>
        <v>View</v>
      </c>
      <c r="V69" s="11"/>
      <c r="W69" s="11"/>
      <c r="X69" s="11"/>
      <c r="Y69" s="11"/>
      <c r="Z69" s="11"/>
    </row>
    <row r="70">
      <c r="A70" s="8">
        <v>44215.83189814815</v>
      </c>
      <c r="B70" s="9" t="str">
        <f>HYPERLINK("https://twitter.com/danieleduardohn","@danieleduardohn")</f>
        <v>@danieleduardohn</v>
      </c>
      <c r="C70" s="10" t="s">
        <v>307</v>
      </c>
      <c r="D70" s="10" t="s">
        <v>308</v>
      </c>
      <c r="E70" s="9" t="str">
        <f>HYPERLINK("https://twitter.com/danieleduardohn/status/1351740718855958528","1351740718855958528")</f>
        <v>1351740718855958528</v>
      </c>
      <c r="F70" s="12" t="s">
        <v>309</v>
      </c>
      <c r="G70" s="11"/>
      <c r="H70" s="11"/>
      <c r="I70" s="13">
        <v>0.0</v>
      </c>
      <c r="J70" s="13">
        <v>0.0</v>
      </c>
      <c r="K70" s="9" t="str">
        <f t="shared" si="15"/>
        <v>Twitter Web App</v>
      </c>
      <c r="L70" s="14">
        <v>71.0</v>
      </c>
      <c r="M70" s="14">
        <v>172.0</v>
      </c>
      <c r="N70" s="14">
        <v>0.0</v>
      </c>
      <c r="O70" s="15"/>
      <c r="P70" s="16">
        <v>43733.359293981484</v>
      </c>
      <c r="Q70" s="10" t="s">
        <v>310</v>
      </c>
      <c r="R70" s="10" t="s">
        <v>311</v>
      </c>
      <c r="S70" s="11"/>
      <c r="T70" s="11"/>
      <c r="U70" s="17" t="str">
        <f>HYPERLINK("https://pbs.twimg.com/profile_images/1352854253786853379/wl8xdAgD.jpg","View")</f>
        <v>View</v>
      </c>
      <c r="V70" s="11"/>
      <c r="W70" s="11"/>
      <c r="X70" s="11"/>
      <c r="Y70" s="11"/>
      <c r="Z70" s="11"/>
    </row>
    <row r="71">
      <c r="A71" s="8">
        <v>44215.76828703703</v>
      </c>
      <c r="B71" s="9" t="str">
        <f>HYPERLINK("https://twitter.com/Abadon00","@Abadon00")</f>
        <v>@Abadon00</v>
      </c>
      <c r="C71" s="10" t="s">
        <v>312</v>
      </c>
      <c r="D71" s="10" t="s">
        <v>313</v>
      </c>
      <c r="E71" s="9" t="str">
        <f>HYPERLINK("https://twitter.com/Abadon00/status/1351717668143976453","1351717668143976453")</f>
        <v>1351717668143976453</v>
      </c>
      <c r="F71" s="11"/>
      <c r="G71" s="11"/>
      <c r="H71" s="11"/>
      <c r="I71" s="13">
        <v>0.0</v>
      </c>
      <c r="J71" s="13">
        <v>10.0</v>
      </c>
      <c r="K71" s="9" t="str">
        <f>HYPERLINK("http://twitter.com/download/android","Twitter for Android")</f>
        <v>Twitter for Android</v>
      </c>
      <c r="L71" s="14">
        <v>2426.0</v>
      </c>
      <c r="M71" s="14">
        <v>685.0</v>
      </c>
      <c r="N71" s="14">
        <v>14.0</v>
      </c>
      <c r="O71" s="15"/>
      <c r="P71" s="16">
        <v>40236.28979166667</v>
      </c>
      <c r="Q71" s="10" t="s">
        <v>314</v>
      </c>
      <c r="R71" s="10" t="s">
        <v>315</v>
      </c>
      <c r="S71" s="11"/>
      <c r="T71" s="11"/>
      <c r="U71" s="17" t="str">
        <f>HYPERLINK("https://pbs.twimg.com/profile_images/1347425450323292160/qqRuKrTJ.jpg","View")</f>
        <v>View</v>
      </c>
      <c r="V71" s="11"/>
      <c r="W71" s="11"/>
      <c r="X71" s="11"/>
      <c r="Y71" s="11"/>
      <c r="Z71" s="11"/>
    </row>
    <row r="72">
      <c r="A72" s="8">
        <v>44215.697106481486</v>
      </c>
      <c r="B72" s="9" t="str">
        <f>HYPERLINK("https://twitter.com/Natalia46934774","@Natalia46934774")</f>
        <v>@Natalia46934774</v>
      </c>
      <c r="C72" s="10" t="s">
        <v>316</v>
      </c>
      <c r="D72" s="10" t="s">
        <v>317</v>
      </c>
      <c r="E72" s="9" t="str">
        <f>HYPERLINK("https://twitter.com/Natalia46934774/status/1351691873426042888","1351691873426042888")</f>
        <v>1351691873426042888</v>
      </c>
      <c r="F72" s="11"/>
      <c r="G72" s="11"/>
      <c r="H72" s="11"/>
      <c r="I72" s="13">
        <v>0.0</v>
      </c>
      <c r="J72" s="13">
        <v>4.0</v>
      </c>
      <c r="K72" s="9" t="str">
        <f t="shared" ref="K72:K75" si="16">HYPERLINK("http://twitter.com/download/iphone","Twitter for iPhone")</f>
        <v>Twitter for iPhone</v>
      </c>
      <c r="L72" s="14">
        <v>98.0</v>
      </c>
      <c r="M72" s="14">
        <v>87.0</v>
      </c>
      <c r="N72" s="14">
        <v>0.0</v>
      </c>
      <c r="O72" s="15"/>
      <c r="P72" s="16">
        <v>43918.95125</v>
      </c>
      <c r="Q72" s="11"/>
      <c r="R72" s="11"/>
      <c r="S72" s="11"/>
      <c r="T72" s="11"/>
      <c r="U72" s="17" t="str">
        <f>HYPERLINK("https://pbs.twimg.com/profile_images/1352507086593208320/ZTo1USlO.jpg","View")</f>
        <v>View</v>
      </c>
      <c r="V72" s="11"/>
      <c r="W72" s="11"/>
      <c r="X72" s="11"/>
      <c r="Y72" s="11"/>
      <c r="Z72" s="11"/>
    </row>
    <row r="73">
      <c r="A73" s="8">
        <v>44215.62841435186</v>
      </c>
      <c r="B73" s="9" t="str">
        <f>HYPERLINK("https://twitter.com/avionsinfrenos","@avionsinfrenos")</f>
        <v>@avionsinfrenos</v>
      </c>
      <c r="C73" s="10" t="s">
        <v>318</v>
      </c>
      <c r="D73" s="10" t="s">
        <v>319</v>
      </c>
      <c r="E73" s="9" t="str">
        <f>HYPERLINK("https://twitter.com/avionsinfrenos/status/1351666979564892160","1351666979564892160")</f>
        <v>1351666979564892160</v>
      </c>
      <c r="F73" s="12" t="s">
        <v>320</v>
      </c>
      <c r="G73" s="12" t="s">
        <v>321</v>
      </c>
      <c r="H73" s="11"/>
      <c r="I73" s="13">
        <v>0.0</v>
      </c>
      <c r="J73" s="13">
        <v>0.0</v>
      </c>
      <c r="K73" s="9" t="str">
        <f t="shared" si="16"/>
        <v>Twitter for iPhone</v>
      </c>
      <c r="L73" s="14">
        <v>513.0</v>
      </c>
      <c r="M73" s="14">
        <v>724.0</v>
      </c>
      <c r="N73" s="14">
        <v>7.0</v>
      </c>
      <c r="O73" s="15"/>
      <c r="P73" s="16">
        <v>43139.1884375</v>
      </c>
      <c r="Q73" s="10" t="s">
        <v>322</v>
      </c>
      <c r="R73" s="10" t="s">
        <v>323</v>
      </c>
      <c r="S73" s="12" t="s">
        <v>324</v>
      </c>
      <c r="T73" s="11"/>
      <c r="U73" s="17" t="str">
        <f>HYPERLINK("https://pbs.twimg.com/profile_images/1350170638024118274/pA73Tvxh.jpg","View")</f>
        <v>View</v>
      </c>
      <c r="V73" s="11"/>
      <c r="W73" s="11"/>
      <c r="X73" s="11"/>
      <c r="Y73" s="11"/>
      <c r="Z73" s="11"/>
    </row>
    <row r="74">
      <c r="A74" s="8">
        <v>44215.59105324074</v>
      </c>
      <c r="B74" s="9" t="str">
        <f>HYPERLINK("https://twitter.com/fx82MSS","@fx82MSS")</f>
        <v>@fx82MSS</v>
      </c>
      <c r="C74" s="10" t="s">
        <v>325</v>
      </c>
      <c r="D74" s="10" t="s">
        <v>326</v>
      </c>
      <c r="E74" s="9" t="str">
        <f>HYPERLINK("https://twitter.com/fx82MSS/status/1351653443006574603","1351653443006574603")</f>
        <v>1351653443006574603</v>
      </c>
      <c r="F74" s="11"/>
      <c r="G74" s="11"/>
      <c r="H74" s="11"/>
      <c r="I74" s="13">
        <v>0.0</v>
      </c>
      <c r="J74" s="13">
        <v>5.0</v>
      </c>
      <c r="K74" s="9" t="str">
        <f t="shared" si="16"/>
        <v>Twitter for iPhone</v>
      </c>
      <c r="L74" s="14">
        <v>405.0</v>
      </c>
      <c r="M74" s="14">
        <v>666.0</v>
      </c>
      <c r="N74" s="14">
        <v>1.0</v>
      </c>
      <c r="O74" s="15"/>
      <c r="P74" s="16">
        <v>41696.5678587963</v>
      </c>
      <c r="Q74" s="10" t="s">
        <v>327</v>
      </c>
      <c r="R74" s="11"/>
      <c r="S74" s="11"/>
      <c r="T74" s="11"/>
      <c r="U74" s="17" t="str">
        <f>HYPERLINK("https://pbs.twimg.com/profile_images/1342518128941535232/Kw0yLsGM.jpg","View")</f>
        <v>View</v>
      </c>
      <c r="V74" s="11"/>
      <c r="W74" s="11"/>
      <c r="X74" s="11"/>
      <c r="Y74" s="11"/>
      <c r="Z74" s="11"/>
    </row>
    <row r="75">
      <c r="A75" s="8">
        <v>44215.56376157407</v>
      </c>
      <c r="B75" s="9" t="str">
        <f>HYPERLINK("https://twitter.com/UnbrokenCRB","@UnbrokenCRB")</f>
        <v>@UnbrokenCRB</v>
      </c>
      <c r="C75" s="10" t="s">
        <v>328</v>
      </c>
      <c r="D75" s="10" t="s">
        <v>329</v>
      </c>
      <c r="E75" s="9" t="str">
        <f>HYPERLINK("https://twitter.com/UnbrokenCRB/status/1351643552380452865","1351643552380452865")</f>
        <v>1351643552380452865</v>
      </c>
      <c r="F75" s="11"/>
      <c r="G75" s="11"/>
      <c r="H75" s="11"/>
      <c r="I75" s="13">
        <v>0.0</v>
      </c>
      <c r="J75" s="13">
        <v>0.0</v>
      </c>
      <c r="K75" s="9" t="str">
        <f t="shared" si="16"/>
        <v>Twitter for iPhone</v>
      </c>
      <c r="L75" s="14">
        <v>697.0</v>
      </c>
      <c r="M75" s="14">
        <v>1561.0</v>
      </c>
      <c r="N75" s="14">
        <v>5.0</v>
      </c>
      <c r="O75" s="15"/>
      <c r="P75" s="16">
        <v>40240.528078703705</v>
      </c>
      <c r="Q75" s="10" t="s">
        <v>330</v>
      </c>
      <c r="R75" s="10" t="s">
        <v>331</v>
      </c>
      <c r="S75" s="12" t="s">
        <v>332</v>
      </c>
      <c r="T75" s="11"/>
      <c r="U75" s="17" t="str">
        <f>HYPERLINK("https://pbs.twimg.com/profile_images/934866219571777537/XtT-0Atd.jpg","View")</f>
        <v>View</v>
      </c>
      <c r="V75" s="11"/>
      <c r="W75" s="11"/>
      <c r="X75" s="11"/>
      <c r="Y75" s="11"/>
      <c r="Z75" s="11"/>
    </row>
    <row r="76">
      <c r="A76" s="8">
        <v>44215.39335648148</v>
      </c>
      <c r="B76" s="9" t="str">
        <f>HYPERLINK("https://twitter.com/AngieRR3","@AngieRR3")</f>
        <v>@AngieRR3</v>
      </c>
      <c r="C76" s="10" t="s">
        <v>333</v>
      </c>
      <c r="D76" s="10" t="s">
        <v>334</v>
      </c>
      <c r="E76" s="9" t="str">
        <f>HYPERLINK("https://twitter.com/AngieRR3/status/1351581800146022400","1351581800146022400")</f>
        <v>1351581800146022400</v>
      </c>
      <c r="F76" s="11"/>
      <c r="G76" s="12" t="s">
        <v>335</v>
      </c>
      <c r="H76" s="11"/>
      <c r="I76" s="13">
        <v>0.0</v>
      </c>
      <c r="J76" s="13">
        <v>4.0</v>
      </c>
      <c r="K76" s="9" t="str">
        <f>HYPERLINK("http://twitter.com/download/android","Twitter for Android")</f>
        <v>Twitter for Android</v>
      </c>
      <c r="L76" s="14">
        <v>160.0</v>
      </c>
      <c r="M76" s="14">
        <v>427.0</v>
      </c>
      <c r="N76" s="14">
        <v>0.0</v>
      </c>
      <c r="O76" s="15"/>
      <c r="P76" s="16">
        <v>43743.334814814814</v>
      </c>
      <c r="Q76" s="10" t="s">
        <v>336</v>
      </c>
      <c r="R76" s="10" t="s">
        <v>337</v>
      </c>
      <c r="S76" s="11"/>
      <c r="T76" s="11"/>
      <c r="U76" s="17" t="str">
        <f>HYPERLINK("https://pbs.twimg.com/profile_images/1351326817131630603/r6nuSQJI.jpg","View")</f>
        <v>View</v>
      </c>
      <c r="V76" s="11"/>
      <c r="W76" s="11"/>
      <c r="X76" s="11"/>
      <c r="Y76" s="11"/>
      <c r="Z76" s="11"/>
    </row>
    <row r="77">
      <c r="A77" s="8">
        <v>44215.36960648149</v>
      </c>
      <c r="B77" s="9" t="str">
        <f>HYPERLINK("https://twitter.com/T3ODIO","@T3ODIO")</f>
        <v>@T3ODIO</v>
      </c>
      <c r="C77" s="10" t="s">
        <v>338</v>
      </c>
      <c r="D77" s="10" t="s">
        <v>339</v>
      </c>
      <c r="E77" s="9" t="str">
        <f>HYPERLINK("https://twitter.com/T3ODIO/status/1351573193341878273","1351573193341878273")</f>
        <v>1351573193341878273</v>
      </c>
      <c r="F77" s="11"/>
      <c r="G77" s="12" t="s">
        <v>340</v>
      </c>
      <c r="H77" s="11"/>
      <c r="I77" s="13">
        <v>0.0</v>
      </c>
      <c r="J77" s="13">
        <v>0.0</v>
      </c>
      <c r="K77" s="9" t="str">
        <f t="shared" ref="K77:K78" si="17">HYPERLINK("http://twitter.com/download/iphone","Twitter for iPhone")</f>
        <v>Twitter for iPhone</v>
      </c>
      <c r="L77" s="14">
        <v>231.0</v>
      </c>
      <c r="M77" s="14">
        <v>223.0</v>
      </c>
      <c r="N77" s="14">
        <v>1.0</v>
      </c>
      <c r="O77" s="15"/>
      <c r="P77" s="16">
        <v>44107.799837962964</v>
      </c>
      <c r="Q77" s="10" t="s">
        <v>341</v>
      </c>
      <c r="R77" s="10" t="s">
        <v>342</v>
      </c>
      <c r="S77" s="11"/>
      <c r="T77" s="11"/>
      <c r="U77" s="17" t="str">
        <f>HYPERLINK("https://pbs.twimg.com/profile_images/1354099874384420864/-jFR2BV5.jpg","View")</f>
        <v>View</v>
      </c>
      <c r="V77" s="11"/>
      <c r="W77" s="11"/>
      <c r="X77" s="11"/>
      <c r="Y77" s="11"/>
      <c r="Z77" s="11"/>
    </row>
    <row r="78">
      <c r="A78" s="8">
        <v>44215.25513888889</v>
      </c>
      <c r="B78" s="9" t="str">
        <f>HYPERLINK("https://twitter.com/cxution_","@cxution_")</f>
        <v>@cxution_</v>
      </c>
      <c r="C78" s="10" t="s">
        <v>343</v>
      </c>
      <c r="D78" s="10" t="s">
        <v>344</v>
      </c>
      <c r="E78" s="9" t="str">
        <f>HYPERLINK("https://twitter.com/cxution_/status/1351531711658487808","1351531711658487808")</f>
        <v>1351531711658487808</v>
      </c>
      <c r="F78" s="11"/>
      <c r="G78" s="11"/>
      <c r="H78" s="11"/>
      <c r="I78" s="13">
        <v>0.0</v>
      </c>
      <c r="J78" s="13">
        <v>1.0</v>
      </c>
      <c r="K78" s="9" t="str">
        <f t="shared" si="17"/>
        <v>Twitter for iPhone</v>
      </c>
      <c r="L78" s="14">
        <v>854.0</v>
      </c>
      <c r="M78" s="14">
        <v>848.0</v>
      </c>
      <c r="N78" s="14">
        <v>4.0</v>
      </c>
      <c r="O78" s="15"/>
      <c r="P78" s="16">
        <v>43884.56107638888</v>
      </c>
      <c r="Q78" s="10" t="s">
        <v>345</v>
      </c>
      <c r="R78" s="10" t="s">
        <v>346</v>
      </c>
      <c r="S78" s="11"/>
      <c r="T78" s="11"/>
      <c r="U78" s="17" t="str">
        <f>HYPERLINK("https://pbs.twimg.com/profile_images/1353749601837314053/C2g4By1p.jpg","View")</f>
        <v>View</v>
      </c>
      <c r="V78" s="11"/>
      <c r="W78" s="11"/>
      <c r="X78" s="11"/>
      <c r="Y78" s="11"/>
      <c r="Z78" s="11"/>
    </row>
    <row r="79">
      <c r="A79" s="8">
        <v>44215.16170138889</v>
      </c>
      <c r="B79" s="9" t="str">
        <f>HYPERLINK("https://twitter.com/piruja_el","@piruja_el")</f>
        <v>@piruja_el</v>
      </c>
      <c r="C79" s="10" t="s">
        <v>70</v>
      </c>
      <c r="D79" s="10" t="s">
        <v>347</v>
      </c>
      <c r="E79" s="9" t="str">
        <f>HYPERLINK("https://twitter.com/piruja_el/status/1351497847653490693","1351497847653490693")</f>
        <v>1351497847653490693</v>
      </c>
      <c r="F79" s="11"/>
      <c r="G79" s="11"/>
      <c r="H79" s="11"/>
      <c r="I79" s="13">
        <v>7.0</v>
      </c>
      <c r="J79" s="13">
        <v>17.0</v>
      </c>
      <c r="K79" s="9" t="str">
        <f t="shared" ref="K79:K82" si="18">HYPERLINK("http://twitter.com/download/android","Twitter for Android")</f>
        <v>Twitter for Android</v>
      </c>
      <c r="L79" s="14">
        <v>4529.0</v>
      </c>
      <c r="M79" s="14">
        <v>4605.0</v>
      </c>
      <c r="N79" s="14">
        <v>0.0</v>
      </c>
      <c r="O79" s="15"/>
      <c r="P79" s="16">
        <v>43926.419583333336</v>
      </c>
      <c r="Q79" s="11"/>
      <c r="R79" s="10" t="s">
        <v>72</v>
      </c>
      <c r="S79" s="11"/>
      <c r="T79" s="11"/>
      <c r="U79" s="17" t="str">
        <f>HYPERLINK("https://pbs.twimg.com/profile_images/1247192610453716993/BVpiaavv.jpg","View")</f>
        <v>View</v>
      </c>
      <c r="V79" s="11"/>
      <c r="W79" s="11"/>
      <c r="X79" s="11"/>
      <c r="Y79" s="11"/>
      <c r="Z79" s="11"/>
    </row>
    <row r="80">
      <c r="A80" s="8">
        <v>44214.82607638889</v>
      </c>
      <c r="B80" s="9" t="str">
        <f>HYPERLINK("https://twitter.com/cheque_pues","@cheque_pues")</f>
        <v>@cheque_pues</v>
      </c>
      <c r="C80" s="10" t="s">
        <v>348</v>
      </c>
      <c r="D80" s="10" t="s">
        <v>349</v>
      </c>
      <c r="E80" s="9" t="str">
        <f>HYPERLINK("https://twitter.com/cheque_pues/status/1351376223763636225","1351376223763636225")</f>
        <v>1351376223763636225</v>
      </c>
      <c r="F80" s="11"/>
      <c r="G80" s="12" t="s">
        <v>350</v>
      </c>
      <c r="H80" s="11"/>
      <c r="I80" s="13">
        <v>1.0</v>
      </c>
      <c r="J80" s="13">
        <v>20.0</v>
      </c>
      <c r="K80" s="9" t="str">
        <f t="shared" si="18"/>
        <v>Twitter for Android</v>
      </c>
      <c r="L80" s="14">
        <v>2305.0</v>
      </c>
      <c r="M80" s="14">
        <v>1553.0</v>
      </c>
      <c r="N80" s="14">
        <v>5.0</v>
      </c>
      <c r="O80" s="15"/>
      <c r="P80" s="16">
        <v>40615.828252314815</v>
      </c>
      <c r="Q80" s="10" t="s">
        <v>351</v>
      </c>
      <c r="R80" s="10" t="s">
        <v>352</v>
      </c>
      <c r="S80" s="11"/>
      <c r="T80" s="11"/>
      <c r="U80" s="17" t="str">
        <f>HYPERLINK("https://pbs.twimg.com/profile_images/1352834915151343616/zTodKM8K.jpg","View")</f>
        <v>View</v>
      </c>
      <c r="V80" s="11"/>
      <c r="W80" s="11"/>
      <c r="X80" s="11"/>
      <c r="Y80" s="11"/>
      <c r="Z80" s="11"/>
    </row>
    <row r="81">
      <c r="A81" s="8">
        <v>44214.81270833334</v>
      </c>
      <c r="B81" s="9" t="str">
        <f>HYPERLINK("https://twitter.com/FeernandaRobles","@FeernandaRobles")</f>
        <v>@FeernandaRobles</v>
      </c>
      <c r="C81" s="10" t="s">
        <v>353</v>
      </c>
      <c r="D81" s="10" t="s">
        <v>354</v>
      </c>
      <c r="E81" s="9" t="str">
        <f>HYPERLINK("https://twitter.com/FeernandaRobles/status/1351371380273664000","1351371380273664000")</f>
        <v>1351371380273664000</v>
      </c>
      <c r="F81" s="11"/>
      <c r="G81" s="11"/>
      <c r="H81" s="11"/>
      <c r="I81" s="13">
        <v>0.0</v>
      </c>
      <c r="J81" s="13">
        <v>0.0</v>
      </c>
      <c r="K81" s="9" t="str">
        <f t="shared" si="18"/>
        <v>Twitter for Android</v>
      </c>
      <c r="L81" s="14">
        <v>120.0</v>
      </c>
      <c r="M81" s="14">
        <v>411.0</v>
      </c>
      <c r="N81" s="14">
        <v>0.0</v>
      </c>
      <c r="O81" s="15"/>
      <c r="P81" s="16">
        <v>40793.37396990741</v>
      </c>
      <c r="Q81" s="10" t="s">
        <v>55</v>
      </c>
      <c r="R81" s="10" t="s">
        <v>355</v>
      </c>
      <c r="S81" s="11"/>
      <c r="T81" s="11"/>
      <c r="U81" s="17" t="str">
        <f>HYPERLINK("https://pbs.twimg.com/profile_images/1343315249689210880/1Q_LyTC1.jpg","View")</f>
        <v>View</v>
      </c>
      <c r="V81" s="11"/>
      <c r="W81" s="11"/>
      <c r="X81" s="11"/>
      <c r="Y81" s="11"/>
      <c r="Z81" s="11"/>
    </row>
    <row r="82">
      <c r="A82" s="8">
        <v>44214.78778935185</v>
      </c>
      <c r="B82" s="9" t="str">
        <f>HYPERLINK("https://twitter.com/IngridTP97","@IngridTP97")</f>
        <v>@IngridTP97</v>
      </c>
      <c r="C82" s="10" t="s">
        <v>356</v>
      </c>
      <c r="D82" s="10" t="s">
        <v>357</v>
      </c>
      <c r="E82" s="9" t="str">
        <f>HYPERLINK("https://twitter.com/IngridTP97/status/1351362348771115008","1351362348771115008")</f>
        <v>1351362348771115008</v>
      </c>
      <c r="F82" s="12" t="s">
        <v>358</v>
      </c>
      <c r="G82" s="12" t="s">
        <v>359</v>
      </c>
      <c r="H82" s="11"/>
      <c r="I82" s="13">
        <v>0.0</v>
      </c>
      <c r="J82" s="13">
        <v>1.0</v>
      </c>
      <c r="K82" s="9" t="str">
        <f t="shared" si="18"/>
        <v>Twitter for Android</v>
      </c>
      <c r="L82" s="14">
        <v>266.0</v>
      </c>
      <c r="M82" s="14">
        <v>498.0</v>
      </c>
      <c r="N82" s="14">
        <v>0.0</v>
      </c>
      <c r="O82" s="15"/>
      <c r="P82" s="16">
        <v>42308.35612268519</v>
      </c>
      <c r="Q82" s="10" t="s">
        <v>360</v>
      </c>
      <c r="R82" s="10" t="s">
        <v>361</v>
      </c>
      <c r="S82" s="11"/>
      <c r="T82" s="11"/>
      <c r="U82" s="17" t="str">
        <f>HYPERLINK("https://pbs.twimg.com/profile_images/908345386489741312/UUmb3_XN.jpg","View")</f>
        <v>View</v>
      </c>
      <c r="V82" s="11"/>
      <c r="W82" s="11"/>
      <c r="X82" s="11"/>
      <c r="Y82" s="11"/>
      <c r="Z82" s="11"/>
    </row>
    <row r="83">
      <c r="A83" s="8">
        <v>44214.731875</v>
      </c>
      <c r="B83" s="9" t="str">
        <f>HYPERLINK("https://twitter.com/Impronunciabl3","@Impronunciabl3")</f>
        <v>@Impronunciabl3</v>
      </c>
      <c r="C83" s="10" t="s">
        <v>362</v>
      </c>
      <c r="D83" s="10" t="s">
        <v>363</v>
      </c>
      <c r="E83" s="9" t="str">
        <f>HYPERLINK("https://twitter.com/Impronunciabl3/status/1351342085169885193","1351342085169885193")</f>
        <v>1351342085169885193</v>
      </c>
      <c r="F83" s="11"/>
      <c r="G83" s="11"/>
      <c r="H83" s="11"/>
      <c r="I83" s="13">
        <v>0.0</v>
      </c>
      <c r="J83" s="13">
        <v>1.0</v>
      </c>
      <c r="K83" s="9" t="str">
        <f t="shared" ref="K83:K84" si="19">HYPERLINK("http://twitter.com/download/iphone","Twitter for iPhone")</f>
        <v>Twitter for iPhone</v>
      </c>
      <c r="L83" s="14">
        <v>227.0</v>
      </c>
      <c r="M83" s="14">
        <v>1807.0</v>
      </c>
      <c r="N83" s="14">
        <v>0.0</v>
      </c>
      <c r="O83" s="15"/>
      <c r="P83" s="16">
        <v>41537.56428240741</v>
      </c>
      <c r="Q83" s="10" t="s">
        <v>364</v>
      </c>
      <c r="R83" s="10" t="s">
        <v>365</v>
      </c>
      <c r="S83" s="11"/>
      <c r="T83" s="11"/>
      <c r="U83" s="17" t="str">
        <f>HYPERLINK("https://pbs.twimg.com/profile_images/1330723876473548800/zk0He1qn.jpg","View")</f>
        <v>View</v>
      </c>
      <c r="V83" s="11"/>
      <c r="W83" s="11"/>
      <c r="X83" s="11"/>
      <c r="Y83" s="11"/>
      <c r="Z83" s="11"/>
    </row>
    <row r="84">
      <c r="A84" s="8">
        <v>44214.720497685186</v>
      </c>
      <c r="B84" s="9" t="str">
        <f>HYPERLINK("https://twitter.com/Profug0_Mendez","@Profug0_Mendez")</f>
        <v>@Profug0_Mendez</v>
      </c>
      <c r="C84" s="10" t="s">
        <v>366</v>
      </c>
      <c r="D84" s="10" t="s">
        <v>367</v>
      </c>
      <c r="E84" s="9" t="str">
        <f>HYPERLINK("https://twitter.com/Profug0_Mendez/status/1351337962991218691","1351337962991218691")</f>
        <v>1351337962991218691</v>
      </c>
      <c r="F84" s="11"/>
      <c r="G84" s="11"/>
      <c r="H84" s="11"/>
      <c r="I84" s="13">
        <v>0.0</v>
      </c>
      <c r="J84" s="13">
        <v>0.0</v>
      </c>
      <c r="K84" s="9" t="str">
        <f t="shared" si="19"/>
        <v>Twitter for iPhone</v>
      </c>
      <c r="L84" s="14">
        <v>202.0</v>
      </c>
      <c r="M84" s="14">
        <v>1413.0</v>
      </c>
      <c r="N84" s="14">
        <v>0.0</v>
      </c>
      <c r="O84" s="15"/>
      <c r="P84" s="16">
        <v>41217.94329861111</v>
      </c>
      <c r="Q84" s="10" t="s">
        <v>368</v>
      </c>
      <c r="R84" s="10" t="s">
        <v>369</v>
      </c>
      <c r="S84" s="11"/>
      <c r="T84" s="11"/>
      <c r="U84" s="17" t="str">
        <f>HYPERLINK("https://pbs.twimg.com/profile_images/1347380341099679747/RO3bB4yr.jpg","View")</f>
        <v>View</v>
      </c>
      <c r="V84" s="11"/>
      <c r="W84" s="11"/>
      <c r="X84" s="11"/>
      <c r="Y84" s="11"/>
      <c r="Z84" s="11"/>
    </row>
    <row r="85">
      <c r="A85" s="18"/>
      <c r="B85" s="11"/>
      <c r="C85" s="11"/>
      <c r="D85" s="11"/>
      <c r="E85" s="11"/>
      <c r="F85" s="11"/>
      <c r="G85" s="11"/>
      <c r="H85" s="11"/>
      <c r="I85" s="11"/>
      <c r="J85" s="11"/>
      <c r="K85" s="11"/>
      <c r="L85" s="15"/>
      <c r="M85" s="15"/>
      <c r="N85" s="15"/>
      <c r="O85" s="15"/>
      <c r="P85" s="15"/>
      <c r="Q85" s="11"/>
      <c r="R85" s="11"/>
      <c r="S85" s="11"/>
      <c r="T85" s="11"/>
      <c r="U85" s="15"/>
      <c r="V85" s="11"/>
      <c r="W85" s="11"/>
      <c r="X85" s="11"/>
      <c r="Y85" s="11"/>
      <c r="Z85" s="11"/>
    </row>
    <row r="86">
      <c r="A86" s="18"/>
      <c r="B86" s="11"/>
      <c r="C86" s="11"/>
      <c r="D86" s="11"/>
      <c r="E86" s="11"/>
      <c r="F86" s="11"/>
      <c r="G86" s="11"/>
      <c r="H86" s="11"/>
      <c r="I86" s="11"/>
      <c r="J86" s="11"/>
      <c r="K86" s="11"/>
      <c r="L86" s="15"/>
      <c r="M86" s="15"/>
      <c r="N86" s="15"/>
      <c r="O86" s="15"/>
      <c r="P86" s="15"/>
      <c r="Q86" s="11"/>
      <c r="R86" s="11"/>
      <c r="S86" s="11"/>
      <c r="T86" s="11"/>
      <c r="U86" s="15"/>
      <c r="V86" s="11"/>
      <c r="W86" s="11"/>
      <c r="X86" s="11"/>
      <c r="Y86" s="11"/>
      <c r="Z86" s="11"/>
    </row>
    <row r="87">
      <c r="A87" s="18"/>
      <c r="B87" s="11"/>
      <c r="C87" s="11"/>
      <c r="D87" s="11"/>
      <c r="E87" s="11"/>
      <c r="F87" s="11"/>
      <c r="G87" s="11"/>
      <c r="H87" s="11"/>
      <c r="I87" s="11"/>
      <c r="J87" s="11"/>
      <c r="K87" s="11"/>
      <c r="L87" s="15"/>
      <c r="M87" s="15"/>
      <c r="N87" s="15"/>
      <c r="O87" s="15"/>
      <c r="P87" s="15"/>
      <c r="Q87" s="11"/>
      <c r="R87" s="11"/>
      <c r="S87" s="11"/>
      <c r="T87" s="11"/>
      <c r="U87" s="15"/>
      <c r="V87" s="11"/>
      <c r="W87" s="11"/>
      <c r="X87" s="11"/>
      <c r="Y87" s="11"/>
      <c r="Z87" s="11"/>
    </row>
    <row r="88">
      <c r="A88" s="18"/>
      <c r="B88" s="11"/>
      <c r="C88" s="11"/>
      <c r="D88" s="11"/>
      <c r="E88" s="11"/>
      <c r="F88" s="11"/>
      <c r="G88" s="11"/>
      <c r="H88" s="11"/>
      <c r="I88" s="11"/>
      <c r="J88" s="11"/>
      <c r="K88" s="11"/>
      <c r="L88" s="15"/>
      <c r="M88" s="15"/>
      <c r="N88" s="15"/>
      <c r="O88" s="15"/>
      <c r="P88" s="15"/>
      <c r="Q88" s="11"/>
      <c r="R88" s="11"/>
      <c r="S88" s="11"/>
      <c r="T88" s="11"/>
      <c r="U88" s="15"/>
      <c r="V88" s="11"/>
      <c r="W88" s="11"/>
      <c r="X88" s="11"/>
      <c r="Y88" s="11"/>
      <c r="Z88" s="11"/>
    </row>
    <row r="89">
      <c r="A89" s="18"/>
      <c r="B89" s="11"/>
      <c r="C89" s="11"/>
      <c r="D89" s="11"/>
      <c r="E89" s="11"/>
      <c r="F89" s="11"/>
      <c r="G89" s="11"/>
      <c r="H89" s="11"/>
      <c r="I89" s="11"/>
      <c r="J89" s="11"/>
      <c r="K89" s="11"/>
      <c r="L89" s="15"/>
      <c r="M89" s="15"/>
      <c r="N89" s="15"/>
      <c r="O89" s="15"/>
      <c r="P89" s="15"/>
      <c r="Q89" s="11"/>
      <c r="R89" s="11"/>
      <c r="S89" s="11"/>
      <c r="T89" s="11"/>
      <c r="U89" s="15"/>
      <c r="V89" s="11"/>
      <c r="W89" s="11"/>
      <c r="X89" s="11"/>
      <c r="Y89" s="11"/>
      <c r="Z89" s="11"/>
    </row>
    <row r="90">
      <c r="A90" s="18"/>
      <c r="B90" s="11"/>
      <c r="C90" s="11"/>
      <c r="D90" s="11"/>
      <c r="E90" s="11"/>
      <c r="F90" s="11"/>
      <c r="G90" s="11"/>
      <c r="H90" s="11"/>
      <c r="I90" s="11"/>
      <c r="J90" s="11"/>
      <c r="K90" s="11"/>
      <c r="L90" s="15"/>
      <c r="M90" s="15"/>
      <c r="N90" s="15"/>
      <c r="O90" s="15"/>
      <c r="P90" s="15"/>
      <c r="Q90" s="11"/>
      <c r="R90" s="11"/>
      <c r="S90" s="11"/>
      <c r="T90" s="11"/>
      <c r="U90" s="15"/>
      <c r="V90" s="11"/>
      <c r="W90" s="11"/>
      <c r="X90" s="11"/>
      <c r="Y90" s="11"/>
      <c r="Z90" s="11"/>
    </row>
    <row r="91">
      <c r="A91" s="18"/>
      <c r="B91" s="11"/>
      <c r="C91" s="11"/>
      <c r="D91" s="11"/>
      <c r="E91" s="11"/>
      <c r="F91" s="11"/>
      <c r="G91" s="11"/>
      <c r="H91" s="11"/>
      <c r="I91" s="11"/>
      <c r="J91" s="11"/>
      <c r="K91" s="11"/>
      <c r="L91" s="15"/>
      <c r="M91" s="15"/>
      <c r="N91" s="15"/>
      <c r="O91" s="15"/>
      <c r="P91" s="15"/>
      <c r="Q91" s="11"/>
      <c r="R91" s="11"/>
      <c r="S91" s="11"/>
      <c r="T91" s="11"/>
      <c r="U91" s="15"/>
      <c r="V91" s="11"/>
      <c r="W91" s="11"/>
      <c r="X91" s="11"/>
      <c r="Y91" s="11"/>
      <c r="Z91" s="11"/>
    </row>
    <row r="92">
      <c r="A92" s="18"/>
      <c r="B92" s="11"/>
      <c r="C92" s="11"/>
      <c r="D92" s="11"/>
      <c r="E92" s="11"/>
      <c r="F92" s="11"/>
      <c r="G92" s="11"/>
      <c r="H92" s="11"/>
      <c r="I92" s="11"/>
      <c r="J92" s="11"/>
      <c r="K92" s="11"/>
      <c r="L92" s="15"/>
      <c r="M92" s="15"/>
      <c r="N92" s="15"/>
      <c r="O92" s="15"/>
      <c r="P92" s="15"/>
      <c r="Q92" s="11"/>
      <c r="R92" s="11"/>
      <c r="S92" s="11"/>
      <c r="T92" s="11"/>
      <c r="U92" s="15"/>
      <c r="V92" s="11"/>
      <c r="W92" s="11"/>
      <c r="X92" s="11"/>
      <c r="Y92" s="11"/>
      <c r="Z92" s="11"/>
    </row>
    <row r="93">
      <c r="A93" s="18"/>
      <c r="B93" s="11"/>
      <c r="C93" s="11"/>
      <c r="D93" s="11"/>
      <c r="E93" s="11"/>
      <c r="F93" s="11"/>
      <c r="G93" s="11"/>
      <c r="H93" s="11"/>
      <c r="I93" s="11"/>
      <c r="J93" s="11"/>
      <c r="K93" s="11"/>
      <c r="L93" s="15"/>
      <c r="M93" s="15"/>
      <c r="N93" s="15"/>
      <c r="O93" s="15"/>
      <c r="P93" s="15"/>
      <c r="Q93" s="11"/>
      <c r="R93" s="11"/>
      <c r="S93" s="11"/>
      <c r="T93" s="11"/>
      <c r="U93" s="15"/>
      <c r="V93" s="11"/>
      <c r="W93" s="11"/>
      <c r="X93" s="11"/>
      <c r="Y93" s="11"/>
      <c r="Z93" s="11"/>
    </row>
    <row r="94">
      <c r="A94" s="18"/>
      <c r="B94" s="11"/>
      <c r="C94" s="11"/>
      <c r="D94" s="11"/>
      <c r="E94" s="11"/>
      <c r="F94" s="11"/>
      <c r="G94" s="11"/>
      <c r="H94" s="11"/>
      <c r="I94" s="11"/>
      <c r="J94" s="11"/>
      <c r="K94" s="11"/>
      <c r="L94" s="15"/>
      <c r="M94" s="15"/>
      <c r="N94" s="15"/>
      <c r="O94" s="15"/>
      <c r="P94" s="15"/>
      <c r="Q94" s="11"/>
      <c r="R94" s="11"/>
      <c r="S94" s="11"/>
      <c r="T94" s="11"/>
      <c r="U94" s="15"/>
      <c r="V94" s="11"/>
      <c r="W94" s="11"/>
      <c r="X94" s="11"/>
      <c r="Y94" s="11"/>
      <c r="Z94" s="11"/>
    </row>
    <row r="95">
      <c r="A95" s="18"/>
      <c r="B95" s="11"/>
      <c r="C95" s="11"/>
      <c r="D95" s="11"/>
      <c r="E95" s="11"/>
      <c r="F95" s="11"/>
      <c r="G95" s="11"/>
      <c r="H95" s="11"/>
      <c r="I95" s="11"/>
      <c r="J95" s="11"/>
      <c r="K95" s="11"/>
      <c r="L95" s="15"/>
      <c r="M95" s="15"/>
      <c r="N95" s="15"/>
      <c r="O95" s="15"/>
      <c r="P95" s="15"/>
      <c r="Q95" s="11"/>
      <c r="R95" s="11"/>
      <c r="S95" s="11"/>
      <c r="T95" s="11"/>
      <c r="U95" s="15"/>
      <c r="V95" s="11"/>
      <c r="W95" s="11"/>
      <c r="X95" s="11"/>
      <c r="Y95" s="11"/>
      <c r="Z95" s="11"/>
    </row>
    <row r="96">
      <c r="A96" s="18"/>
      <c r="B96" s="11"/>
      <c r="C96" s="11"/>
      <c r="D96" s="11"/>
      <c r="E96" s="11"/>
      <c r="F96" s="11"/>
      <c r="G96" s="11"/>
      <c r="H96" s="11"/>
      <c r="I96" s="11"/>
      <c r="J96" s="11"/>
      <c r="K96" s="11"/>
      <c r="L96" s="15"/>
      <c r="M96" s="15"/>
      <c r="N96" s="15"/>
      <c r="O96" s="15"/>
      <c r="P96" s="15"/>
      <c r="Q96" s="11"/>
      <c r="R96" s="11"/>
      <c r="S96" s="11"/>
      <c r="T96" s="11"/>
      <c r="U96" s="15"/>
      <c r="V96" s="11"/>
      <c r="W96" s="11"/>
      <c r="X96" s="11"/>
      <c r="Y96" s="11"/>
      <c r="Z96" s="11"/>
    </row>
    <row r="97">
      <c r="A97" s="18"/>
      <c r="B97" s="11"/>
      <c r="C97" s="11"/>
      <c r="D97" s="11"/>
      <c r="E97" s="11"/>
      <c r="F97" s="11"/>
      <c r="G97" s="11"/>
      <c r="H97" s="11"/>
      <c r="I97" s="11"/>
      <c r="J97" s="11"/>
      <c r="K97" s="11"/>
      <c r="L97" s="15"/>
      <c r="M97" s="15"/>
      <c r="N97" s="15"/>
      <c r="O97" s="15"/>
      <c r="P97" s="15"/>
      <c r="Q97" s="11"/>
      <c r="R97" s="11"/>
      <c r="S97" s="11"/>
      <c r="T97" s="11"/>
      <c r="U97" s="15"/>
      <c r="V97" s="11"/>
      <c r="W97" s="11"/>
      <c r="X97" s="11"/>
      <c r="Y97" s="11"/>
      <c r="Z97" s="11"/>
    </row>
    <row r="98">
      <c r="A98" s="18"/>
      <c r="B98" s="11"/>
      <c r="C98" s="11"/>
      <c r="D98" s="11"/>
      <c r="E98" s="11"/>
      <c r="F98" s="11"/>
      <c r="G98" s="11"/>
      <c r="H98" s="11"/>
      <c r="I98" s="11"/>
      <c r="J98" s="11"/>
      <c r="K98" s="11"/>
      <c r="L98" s="15"/>
      <c r="M98" s="15"/>
      <c r="N98" s="15"/>
      <c r="O98" s="15"/>
      <c r="P98" s="15"/>
      <c r="Q98" s="11"/>
      <c r="R98" s="11"/>
      <c r="S98" s="11"/>
      <c r="T98" s="11"/>
      <c r="U98" s="15"/>
      <c r="V98" s="11"/>
      <c r="W98" s="11"/>
      <c r="X98" s="11"/>
      <c r="Y98" s="11"/>
      <c r="Z98" s="11"/>
    </row>
    <row r="99">
      <c r="A99" s="18"/>
      <c r="B99" s="11"/>
      <c r="C99" s="11"/>
      <c r="D99" s="11"/>
      <c r="E99" s="11"/>
      <c r="F99" s="11"/>
      <c r="G99" s="11"/>
      <c r="H99" s="11"/>
      <c r="I99" s="11"/>
      <c r="J99" s="11"/>
      <c r="K99" s="11"/>
      <c r="L99" s="15"/>
      <c r="M99" s="15"/>
      <c r="N99" s="15"/>
      <c r="O99" s="15"/>
      <c r="P99" s="15"/>
      <c r="Q99" s="11"/>
      <c r="R99" s="11"/>
      <c r="S99" s="11"/>
      <c r="T99" s="11"/>
      <c r="U99" s="15"/>
      <c r="V99" s="11"/>
      <c r="W99" s="11"/>
      <c r="X99" s="11"/>
      <c r="Y99" s="11"/>
      <c r="Z99" s="11"/>
    </row>
    <row r="100">
      <c r="A100" s="18"/>
      <c r="B100" s="11"/>
      <c r="C100" s="11"/>
      <c r="D100" s="11"/>
      <c r="E100" s="11"/>
      <c r="F100" s="11"/>
      <c r="G100" s="11"/>
      <c r="H100" s="11"/>
      <c r="I100" s="11"/>
      <c r="J100" s="11"/>
      <c r="K100" s="11"/>
      <c r="L100" s="15"/>
      <c r="M100" s="15"/>
      <c r="N100" s="15"/>
      <c r="O100" s="15"/>
      <c r="P100" s="15"/>
      <c r="Q100" s="11"/>
      <c r="R100" s="11"/>
      <c r="S100" s="11"/>
      <c r="T100" s="11"/>
      <c r="U100" s="15"/>
      <c r="V100" s="11"/>
      <c r="W100" s="11"/>
      <c r="X100" s="11"/>
      <c r="Y100" s="11"/>
      <c r="Z100" s="11"/>
    </row>
    <row r="101">
      <c r="A101" s="18"/>
      <c r="B101" s="11"/>
      <c r="C101" s="11"/>
      <c r="D101" s="11"/>
      <c r="E101" s="11"/>
      <c r="F101" s="11"/>
      <c r="G101" s="11"/>
      <c r="H101" s="11"/>
      <c r="I101" s="11"/>
      <c r="J101" s="11"/>
      <c r="K101" s="11"/>
      <c r="L101" s="15"/>
      <c r="M101" s="15"/>
      <c r="N101" s="15"/>
      <c r="O101" s="15"/>
      <c r="P101" s="15"/>
      <c r="Q101" s="11"/>
      <c r="R101" s="11"/>
      <c r="S101" s="11"/>
      <c r="T101" s="11"/>
      <c r="U101" s="15"/>
      <c r="V101" s="11"/>
      <c r="W101" s="11"/>
      <c r="X101" s="11"/>
      <c r="Y101" s="11"/>
      <c r="Z101" s="11"/>
    </row>
    <row r="102">
      <c r="A102" s="18"/>
      <c r="B102" s="11"/>
      <c r="C102" s="11"/>
      <c r="D102" s="11"/>
      <c r="E102" s="11"/>
      <c r="F102" s="11"/>
      <c r="G102" s="11"/>
      <c r="H102" s="11"/>
      <c r="I102" s="11"/>
      <c r="J102" s="11"/>
      <c r="K102" s="11"/>
      <c r="L102" s="15"/>
      <c r="M102" s="15"/>
      <c r="N102" s="15"/>
      <c r="O102" s="15"/>
      <c r="P102" s="15"/>
      <c r="Q102" s="11"/>
      <c r="R102" s="11"/>
      <c r="S102" s="11"/>
      <c r="T102" s="11"/>
      <c r="U102" s="15"/>
      <c r="V102" s="11"/>
      <c r="W102" s="11"/>
      <c r="X102" s="11"/>
      <c r="Y102" s="11"/>
      <c r="Z102" s="11"/>
    </row>
    <row r="103">
      <c r="A103" s="18"/>
      <c r="B103" s="11"/>
      <c r="C103" s="11"/>
      <c r="D103" s="11"/>
      <c r="E103" s="11"/>
      <c r="F103" s="11"/>
      <c r="G103" s="11"/>
      <c r="H103" s="11"/>
      <c r="I103" s="11"/>
      <c r="J103" s="11"/>
      <c r="K103" s="11"/>
      <c r="L103" s="15"/>
      <c r="M103" s="15"/>
      <c r="N103" s="15"/>
      <c r="O103" s="15"/>
      <c r="P103" s="15"/>
      <c r="Q103" s="11"/>
      <c r="R103" s="11"/>
      <c r="S103" s="11"/>
      <c r="T103" s="11"/>
      <c r="U103" s="15"/>
      <c r="V103" s="11"/>
      <c r="W103" s="11"/>
      <c r="X103" s="11"/>
      <c r="Y103" s="11"/>
      <c r="Z103" s="11"/>
    </row>
    <row r="104">
      <c r="A104" s="18"/>
      <c r="B104" s="11"/>
      <c r="C104" s="11"/>
      <c r="D104" s="11"/>
      <c r="E104" s="11"/>
      <c r="F104" s="11"/>
      <c r="G104" s="11"/>
      <c r="H104" s="11"/>
      <c r="I104" s="11"/>
      <c r="J104" s="11"/>
      <c r="K104" s="11"/>
      <c r="L104" s="15"/>
      <c r="M104" s="15"/>
      <c r="N104" s="15"/>
      <c r="O104" s="15"/>
      <c r="P104" s="15"/>
      <c r="Q104" s="11"/>
      <c r="R104" s="11"/>
      <c r="S104" s="11"/>
      <c r="T104" s="11"/>
      <c r="U104" s="15"/>
      <c r="V104" s="11"/>
      <c r="W104" s="11"/>
      <c r="X104" s="11"/>
      <c r="Y104" s="11"/>
      <c r="Z104" s="11"/>
    </row>
    <row r="105">
      <c r="A105" s="18"/>
      <c r="B105" s="11"/>
      <c r="C105" s="11"/>
      <c r="D105" s="11"/>
      <c r="E105" s="11"/>
      <c r="F105" s="11"/>
      <c r="G105" s="11"/>
      <c r="H105" s="11"/>
      <c r="I105" s="11"/>
      <c r="J105" s="11"/>
      <c r="K105" s="11"/>
      <c r="L105" s="15"/>
      <c r="M105" s="15"/>
      <c r="N105" s="15"/>
      <c r="O105" s="15"/>
      <c r="P105" s="15"/>
      <c r="Q105" s="11"/>
      <c r="R105" s="11"/>
      <c r="S105" s="11"/>
      <c r="T105" s="11"/>
      <c r="U105" s="15"/>
      <c r="V105" s="11"/>
      <c r="W105" s="11"/>
      <c r="X105" s="11"/>
      <c r="Y105" s="11"/>
      <c r="Z105" s="11"/>
    </row>
    <row r="106">
      <c r="A106" s="18"/>
      <c r="B106" s="11"/>
      <c r="C106" s="11"/>
      <c r="D106" s="11"/>
      <c r="E106" s="11"/>
      <c r="F106" s="11"/>
      <c r="G106" s="11"/>
      <c r="H106" s="11"/>
      <c r="I106" s="11"/>
      <c r="J106" s="11"/>
      <c r="K106" s="11"/>
      <c r="L106" s="15"/>
      <c r="M106" s="15"/>
      <c r="N106" s="15"/>
      <c r="O106" s="15"/>
      <c r="P106" s="15"/>
      <c r="Q106" s="11"/>
      <c r="R106" s="11"/>
      <c r="S106" s="11"/>
      <c r="T106" s="11"/>
      <c r="U106" s="15"/>
      <c r="V106" s="11"/>
      <c r="W106" s="11"/>
      <c r="X106" s="11"/>
      <c r="Y106" s="11"/>
      <c r="Z106" s="11"/>
    </row>
    <row r="107">
      <c r="A107" s="18"/>
      <c r="B107" s="11"/>
      <c r="C107" s="11"/>
      <c r="D107" s="11"/>
      <c r="E107" s="11"/>
      <c r="F107" s="11"/>
      <c r="G107" s="11"/>
      <c r="H107" s="11"/>
      <c r="I107" s="11"/>
      <c r="J107" s="11"/>
      <c r="K107" s="11"/>
      <c r="L107" s="15"/>
      <c r="M107" s="15"/>
      <c r="N107" s="15"/>
      <c r="O107" s="15"/>
      <c r="P107" s="15"/>
      <c r="Q107" s="11"/>
      <c r="R107" s="11"/>
      <c r="S107" s="11"/>
      <c r="T107" s="11"/>
      <c r="U107" s="15"/>
      <c r="V107" s="11"/>
      <c r="W107" s="11"/>
      <c r="X107" s="11"/>
      <c r="Y107" s="11"/>
      <c r="Z107" s="11"/>
    </row>
    <row r="108">
      <c r="A108" s="18"/>
      <c r="B108" s="11"/>
      <c r="C108" s="11"/>
      <c r="D108" s="11"/>
      <c r="E108" s="11"/>
      <c r="F108" s="11"/>
      <c r="G108" s="11"/>
      <c r="H108" s="11"/>
      <c r="I108" s="11"/>
      <c r="J108" s="11"/>
      <c r="K108" s="11"/>
      <c r="L108" s="15"/>
      <c r="M108" s="15"/>
      <c r="N108" s="15"/>
      <c r="O108" s="15"/>
      <c r="P108" s="15"/>
      <c r="Q108" s="11"/>
      <c r="R108" s="11"/>
      <c r="S108" s="11"/>
      <c r="T108" s="11"/>
      <c r="U108" s="15"/>
      <c r="V108" s="11"/>
      <c r="W108" s="11"/>
      <c r="X108" s="11"/>
      <c r="Y108" s="11"/>
      <c r="Z108" s="11"/>
    </row>
    <row r="109">
      <c r="A109" s="18"/>
      <c r="B109" s="11"/>
      <c r="C109" s="11"/>
      <c r="D109" s="11"/>
      <c r="E109" s="11"/>
      <c r="F109" s="11"/>
      <c r="G109" s="11"/>
      <c r="H109" s="11"/>
      <c r="I109" s="11"/>
      <c r="J109" s="11"/>
      <c r="K109" s="11"/>
      <c r="L109" s="15"/>
      <c r="M109" s="15"/>
      <c r="N109" s="15"/>
      <c r="O109" s="15"/>
      <c r="P109" s="15"/>
      <c r="Q109" s="11"/>
      <c r="R109" s="11"/>
      <c r="S109" s="11"/>
      <c r="T109" s="11"/>
      <c r="U109" s="15"/>
      <c r="V109" s="11"/>
      <c r="W109" s="11"/>
      <c r="X109" s="11"/>
      <c r="Y109" s="11"/>
      <c r="Z109" s="11"/>
    </row>
    <row r="110">
      <c r="A110" s="18"/>
      <c r="B110" s="11"/>
      <c r="C110" s="11"/>
      <c r="D110" s="11"/>
      <c r="E110" s="11"/>
      <c r="F110" s="11"/>
      <c r="G110" s="11"/>
      <c r="H110" s="11"/>
      <c r="I110" s="11"/>
      <c r="J110" s="11"/>
      <c r="K110" s="11"/>
      <c r="L110" s="15"/>
      <c r="M110" s="15"/>
      <c r="N110" s="15"/>
      <c r="O110" s="15"/>
      <c r="P110" s="15"/>
      <c r="Q110" s="11"/>
      <c r="R110" s="11"/>
      <c r="S110" s="11"/>
      <c r="T110" s="11"/>
      <c r="U110" s="15"/>
      <c r="V110" s="11"/>
      <c r="W110" s="11"/>
      <c r="X110" s="11"/>
      <c r="Y110" s="11"/>
      <c r="Z110" s="11"/>
    </row>
    <row r="111">
      <c r="A111" s="18"/>
      <c r="B111" s="11"/>
      <c r="C111" s="11"/>
      <c r="D111" s="11"/>
      <c r="E111" s="11"/>
      <c r="F111" s="11"/>
      <c r="G111" s="11"/>
      <c r="H111" s="11"/>
      <c r="I111" s="11"/>
      <c r="J111" s="11"/>
      <c r="K111" s="11"/>
      <c r="L111" s="15"/>
      <c r="M111" s="15"/>
      <c r="N111" s="15"/>
      <c r="O111" s="15"/>
      <c r="P111" s="15"/>
      <c r="Q111" s="11"/>
      <c r="R111" s="11"/>
      <c r="S111" s="11"/>
      <c r="T111" s="11"/>
      <c r="U111" s="15"/>
      <c r="V111" s="11"/>
      <c r="W111" s="11"/>
      <c r="X111" s="11"/>
      <c r="Y111" s="11"/>
      <c r="Z111" s="11"/>
    </row>
    <row r="112">
      <c r="A112" s="18"/>
      <c r="B112" s="11"/>
      <c r="C112" s="11"/>
      <c r="D112" s="11"/>
      <c r="E112" s="11"/>
      <c r="F112" s="11"/>
      <c r="G112" s="11"/>
      <c r="H112" s="11"/>
      <c r="I112" s="11"/>
      <c r="J112" s="11"/>
      <c r="K112" s="11"/>
      <c r="L112" s="15"/>
      <c r="M112" s="15"/>
      <c r="N112" s="15"/>
      <c r="O112" s="15"/>
      <c r="P112" s="15"/>
      <c r="Q112" s="11"/>
      <c r="R112" s="11"/>
      <c r="S112" s="11"/>
      <c r="T112" s="11"/>
      <c r="U112" s="15"/>
      <c r="V112" s="11"/>
      <c r="W112" s="11"/>
      <c r="X112" s="11"/>
      <c r="Y112" s="11"/>
      <c r="Z112" s="11"/>
    </row>
    <row r="113">
      <c r="A113" s="18"/>
      <c r="B113" s="11"/>
      <c r="C113" s="11"/>
      <c r="D113" s="11"/>
      <c r="E113" s="11"/>
      <c r="F113" s="11"/>
      <c r="G113" s="11"/>
      <c r="H113" s="11"/>
      <c r="I113" s="11"/>
      <c r="J113" s="11"/>
      <c r="K113" s="11"/>
      <c r="L113" s="15"/>
      <c r="M113" s="15"/>
      <c r="N113" s="15"/>
      <c r="O113" s="15"/>
      <c r="P113" s="15"/>
      <c r="Q113" s="11"/>
      <c r="R113" s="11"/>
      <c r="S113" s="11"/>
      <c r="T113" s="11"/>
      <c r="U113" s="15"/>
      <c r="V113" s="11"/>
      <c r="W113" s="11"/>
      <c r="X113" s="11"/>
      <c r="Y113" s="11"/>
      <c r="Z113" s="11"/>
    </row>
    <row r="114">
      <c r="A114" s="18"/>
      <c r="B114" s="11"/>
      <c r="C114" s="11"/>
      <c r="D114" s="11"/>
      <c r="E114" s="11"/>
      <c r="F114" s="11"/>
      <c r="G114" s="11"/>
      <c r="H114" s="11"/>
      <c r="I114" s="11"/>
      <c r="J114" s="11"/>
      <c r="K114" s="11"/>
      <c r="L114" s="15"/>
      <c r="M114" s="15"/>
      <c r="N114" s="15"/>
      <c r="O114" s="15"/>
      <c r="P114" s="15"/>
      <c r="Q114" s="11"/>
      <c r="R114" s="11"/>
      <c r="S114" s="11"/>
      <c r="T114" s="11"/>
      <c r="U114" s="15"/>
      <c r="V114" s="11"/>
      <c r="W114" s="11"/>
      <c r="X114" s="11"/>
      <c r="Y114" s="11"/>
      <c r="Z114" s="11"/>
    </row>
    <row r="115">
      <c r="A115" s="18"/>
      <c r="B115" s="11"/>
      <c r="C115" s="11"/>
      <c r="D115" s="11"/>
      <c r="E115" s="11"/>
      <c r="F115" s="11"/>
      <c r="G115" s="11"/>
      <c r="H115" s="11"/>
      <c r="I115" s="11"/>
      <c r="J115" s="11"/>
      <c r="K115" s="11"/>
      <c r="L115" s="15"/>
      <c r="M115" s="15"/>
      <c r="N115" s="15"/>
      <c r="O115" s="15"/>
      <c r="P115" s="15"/>
      <c r="Q115" s="11"/>
      <c r="R115" s="11"/>
      <c r="S115" s="11"/>
      <c r="T115" s="11"/>
      <c r="U115" s="15"/>
      <c r="V115" s="11"/>
      <c r="W115" s="11"/>
      <c r="X115" s="11"/>
      <c r="Y115" s="11"/>
      <c r="Z115" s="11"/>
    </row>
    <row r="116">
      <c r="A116" s="18"/>
      <c r="B116" s="11"/>
      <c r="C116" s="11"/>
      <c r="D116" s="11"/>
      <c r="E116" s="11"/>
      <c r="F116" s="11"/>
      <c r="G116" s="11"/>
      <c r="H116" s="11"/>
      <c r="I116" s="11"/>
      <c r="J116" s="11"/>
      <c r="K116" s="11"/>
      <c r="L116" s="15"/>
      <c r="M116" s="15"/>
      <c r="N116" s="15"/>
      <c r="O116" s="15"/>
      <c r="P116" s="15"/>
      <c r="Q116" s="11"/>
      <c r="R116" s="11"/>
      <c r="S116" s="11"/>
      <c r="T116" s="11"/>
      <c r="U116" s="15"/>
      <c r="V116" s="11"/>
      <c r="W116" s="11"/>
      <c r="X116" s="11"/>
      <c r="Y116" s="11"/>
      <c r="Z116" s="11"/>
    </row>
    <row r="117">
      <c r="A117" s="18"/>
      <c r="B117" s="11"/>
      <c r="C117" s="11"/>
      <c r="D117" s="11"/>
      <c r="E117" s="11"/>
      <c r="F117" s="11"/>
      <c r="G117" s="11"/>
      <c r="H117" s="11"/>
      <c r="I117" s="11"/>
      <c r="J117" s="11"/>
      <c r="K117" s="11"/>
      <c r="L117" s="15"/>
      <c r="M117" s="15"/>
      <c r="N117" s="15"/>
      <c r="O117" s="15"/>
      <c r="P117" s="15"/>
      <c r="Q117" s="11"/>
      <c r="R117" s="11"/>
      <c r="S117" s="11"/>
      <c r="T117" s="11"/>
      <c r="U117" s="15"/>
      <c r="V117" s="11"/>
      <c r="W117" s="11"/>
      <c r="X117" s="11"/>
      <c r="Y117" s="11"/>
      <c r="Z117" s="11"/>
    </row>
    <row r="118">
      <c r="A118" s="18"/>
      <c r="B118" s="11"/>
      <c r="C118" s="11"/>
      <c r="D118" s="11"/>
      <c r="E118" s="11"/>
      <c r="F118" s="11"/>
      <c r="G118" s="11"/>
      <c r="H118" s="11"/>
      <c r="I118" s="11"/>
      <c r="J118" s="11"/>
      <c r="K118" s="11"/>
      <c r="L118" s="15"/>
      <c r="M118" s="15"/>
      <c r="N118" s="15"/>
      <c r="O118" s="15"/>
      <c r="P118" s="15"/>
      <c r="Q118" s="11"/>
      <c r="R118" s="11"/>
      <c r="S118" s="11"/>
      <c r="T118" s="11"/>
      <c r="U118" s="15"/>
      <c r="V118" s="11"/>
      <c r="W118" s="11"/>
      <c r="X118" s="11"/>
      <c r="Y118" s="11"/>
      <c r="Z118" s="11"/>
    </row>
    <row r="119">
      <c r="A119" s="18"/>
      <c r="B119" s="11"/>
      <c r="C119" s="11"/>
      <c r="D119" s="11"/>
      <c r="E119" s="11"/>
      <c r="F119" s="11"/>
      <c r="G119" s="11"/>
      <c r="H119" s="11"/>
      <c r="I119" s="11"/>
      <c r="J119" s="11"/>
      <c r="K119" s="11"/>
      <c r="L119" s="15"/>
      <c r="M119" s="15"/>
      <c r="N119" s="15"/>
      <c r="O119" s="15"/>
      <c r="P119" s="15"/>
      <c r="Q119" s="11"/>
      <c r="R119" s="11"/>
      <c r="S119" s="11"/>
      <c r="T119" s="11"/>
      <c r="U119" s="15"/>
      <c r="V119" s="11"/>
      <c r="W119" s="11"/>
      <c r="X119" s="11"/>
      <c r="Y119" s="11"/>
      <c r="Z119" s="11"/>
    </row>
    <row r="120">
      <c r="A120" s="18"/>
      <c r="B120" s="11"/>
      <c r="C120" s="11"/>
      <c r="D120" s="11"/>
      <c r="E120" s="11"/>
      <c r="F120" s="11"/>
      <c r="G120" s="11"/>
      <c r="H120" s="11"/>
      <c r="I120" s="11"/>
      <c r="J120" s="11"/>
      <c r="K120" s="11"/>
      <c r="L120" s="15"/>
      <c r="M120" s="15"/>
      <c r="N120" s="15"/>
      <c r="O120" s="15"/>
      <c r="P120" s="15"/>
      <c r="Q120" s="11"/>
      <c r="R120" s="11"/>
      <c r="S120" s="11"/>
      <c r="T120" s="11"/>
      <c r="U120" s="15"/>
      <c r="V120" s="11"/>
      <c r="W120" s="11"/>
      <c r="X120" s="11"/>
      <c r="Y120" s="11"/>
      <c r="Z120" s="11"/>
    </row>
    <row r="121">
      <c r="A121" s="18"/>
      <c r="B121" s="11"/>
      <c r="C121" s="11"/>
      <c r="D121" s="11"/>
      <c r="E121" s="11"/>
      <c r="F121" s="11"/>
      <c r="G121" s="11"/>
      <c r="H121" s="11"/>
      <c r="I121" s="11"/>
      <c r="J121" s="11"/>
      <c r="K121" s="11"/>
      <c r="L121" s="15"/>
      <c r="M121" s="15"/>
      <c r="N121" s="15"/>
      <c r="O121" s="15"/>
      <c r="P121" s="15"/>
      <c r="Q121" s="11"/>
      <c r="R121" s="11"/>
      <c r="S121" s="11"/>
      <c r="T121" s="11"/>
      <c r="U121" s="15"/>
      <c r="V121" s="11"/>
      <c r="W121" s="11"/>
      <c r="X121" s="11"/>
      <c r="Y121" s="11"/>
      <c r="Z121" s="11"/>
    </row>
    <row r="122">
      <c r="A122" s="18"/>
      <c r="B122" s="11"/>
      <c r="C122" s="11"/>
      <c r="D122" s="11"/>
      <c r="E122" s="11"/>
      <c r="F122" s="11"/>
      <c r="G122" s="11"/>
      <c r="H122" s="11"/>
      <c r="I122" s="11"/>
      <c r="J122" s="11"/>
      <c r="K122" s="11"/>
      <c r="L122" s="15"/>
      <c r="M122" s="15"/>
      <c r="N122" s="15"/>
      <c r="O122" s="15"/>
      <c r="P122" s="15"/>
      <c r="Q122" s="11"/>
      <c r="R122" s="11"/>
      <c r="S122" s="11"/>
      <c r="T122" s="11"/>
      <c r="U122" s="15"/>
      <c r="V122" s="11"/>
      <c r="W122" s="11"/>
      <c r="X122" s="11"/>
      <c r="Y122" s="11"/>
      <c r="Z122" s="11"/>
    </row>
    <row r="123">
      <c r="A123" s="18"/>
      <c r="B123" s="11"/>
      <c r="C123" s="11"/>
      <c r="D123" s="11"/>
      <c r="E123" s="11"/>
      <c r="F123" s="11"/>
      <c r="G123" s="11"/>
      <c r="H123" s="11"/>
      <c r="I123" s="11"/>
      <c r="J123" s="11"/>
      <c r="K123" s="11"/>
      <c r="L123" s="15"/>
      <c r="M123" s="15"/>
      <c r="N123" s="15"/>
      <c r="O123" s="15"/>
      <c r="P123" s="15"/>
      <c r="Q123" s="11"/>
      <c r="R123" s="11"/>
      <c r="S123" s="11"/>
      <c r="T123" s="11"/>
      <c r="U123" s="15"/>
      <c r="V123" s="11"/>
      <c r="W123" s="11"/>
      <c r="X123" s="11"/>
      <c r="Y123" s="11"/>
      <c r="Z123" s="11"/>
    </row>
    <row r="124">
      <c r="A124" s="18"/>
      <c r="B124" s="11"/>
      <c r="C124" s="11"/>
      <c r="D124" s="11"/>
      <c r="E124" s="11"/>
      <c r="F124" s="11"/>
      <c r="G124" s="11"/>
      <c r="H124" s="11"/>
      <c r="I124" s="11"/>
      <c r="J124" s="11"/>
      <c r="K124" s="11"/>
      <c r="L124" s="15"/>
      <c r="M124" s="15"/>
      <c r="N124" s="15"/>
      <c r="O124" s="15"/>
      <c r="P124" s="15"/>
      <c r="Q124" s="11"/>
      <c r="R124" s="11"/>
      <c r="S124" s="11"/>
      <c r="T124" s="11"/>
      <c r="U124" s="15"/>
      <c r="V124" s="11"/>
      <c r="W124" s="11"/>
      <c r="X124" s="11"/>
      <c r="Y124" s="11"/>
      <c r="Z124" s="11"/>
    </row>
    <row r="125">
      <c r="A125" s="18"/>
      <c r="B125" s="11"/>
      <c r="C125" s="11"/>
      <c r="D125" s="11"/>
      <c r="E125" s="11"/>
      <c r="F125" s="11"/>
      <c r="G125" s="11"/>
      <c r="H125" s="11"/>
      <c r="I125" s="11"/>
      <c r="J125" s="11"/>
      <c r="K125" s="11"/>
      <c r="L125" s="15"/>
      <c r="M125" s="15"/>
      <c r="N125" s="15"/>
      <c r="O125" s="15"/>
      <c r="P125" s="15"/>
      <c r="Q125" s="11"/>
      <c r="R125" s="11"/>
      <c r="S125" s="11"/>
      <c r="T125" s="11"/>
      <c r="U125" s="15"/>
      <c r="V125" s="11"/>
      <c r="W125" s="11"/>
      <c r="X125" s="11"/>
      <c r="Y125" s="11"/>
      <c r="Z125" s="11"/>
    </row>
    <row r="126">
      <c r="A126" s="18"/>
      <c r="B126" s="11"/>
      <c r="C126" s="11"/>
      <c r="D126" s="11"/>
      <c r="E126" s="11"/>
      <c r="F126" s="11"/>
      <c r="G126" s="11"/>
      <c r="H126" s="11"/>
      <c r="I126" s="11"/>
      <c r="J126" s="11"/>
      <c r="K126" s="11"/>
      <c r="L126" s="15"/>
      <c r="M126" s="15"/>
      <c r="N126" s="15"/>
      <c r="O126" s="15"/>
      <c r="P126" s="15"/>
      <c r="Q126" s="11"/>
      <c r="R126" s="11"/>
      <c r="S126" s="11"/>
      <c r="T126" s="11"/>
      <c r="U126" s="15"/>
      <c r="V126" s="11"/>
      <c r="W126" s="11"/>
      <c r="X126" s="11"/>
      <c r="Y126" s="11"/>
      <c r="Z126" s="11"/>
    </row>
    <row r="127">
      <c r="A127" s="18"/>
      <c r="B127" s="11"/>
      <c r="C127" s="11"/>
      <c r="D127" s="11"/>
      <c r="E127" s="11"/>
      <c r="F127" s="11"/>
      <c r="G127" s="11"/>
      <c r="H127" s="11"/>
      <c r="I127" s="11"/>
      <c r="J127" s="11"/>
      <c r="K127" s="11"/>
      <c r="L127" s="15"/>
      <c r="M127" s="15"/>
      <c r="N127" s="15"/>
      <c r="O127" s="15"/>
      <c r="P127" s="15"/>
      <c r="Q127" s="11"/>
      <c r="R127" s="11"/>
      <c r="S127" s="11"/>
      <c r="T127" s="11"/>
      <c r="U127" s="15"/>
      <c r="V127" s="11"/>
      <c r="W127" s="11"/>
      <c r="X127" s="11"/>
      <c r="Y127" s="11"/>
      <c r="Z127" s="11"/>
    </row>
    <row r="128">
      <c r="A128" s="18"/>
      <c r="B128" s="11"/>
      <c r="C128" s="11"/>
      <c r="D128" s="11"/>
      <c r="E128" s="11"/>
      <c r="F128" s="11"/>
      <c r="G128" s="11"/>
      <c r="H128" s="11"/>
      <c r="I128" s="11"/>
      <c r="J128" s="11"/>
      <c r="K128" s="11"/>
      <c r="L128" s="15"/>
      <c r="M128" s="15"/>
      <c r="N128" s="15"/>
      <c r="O128" s="15"/>
      <c r="P128" s="15"/>
      <c r="Q128" s="11"/>
      <c r="R128" s="11"/>
      <c r="S128" s="11"/>
      <c r="T128" s="11"/>
      <c r="U128" s="15"/>
      <c r="V128" s="11"/>
      <c r="W128" s="11"/>
      <c r="X128" s="11"/>
      <c r="Y128" s="11"/>
      <c r="Z128" s="11"/>
    </row>
    <row r="129">
      <c r="A129" s="18"/>
      <c r="B129" s="11"/>
      <c r="C129" s="11"/>
      <c r="D129" s="11"/>
      <c r="E129" s="11"/>
      <c r="F129" s="11"/>
      <c r="G129" s="11"/>
      <c r="H129" s="11"/>
      <c r="I129" s="11"/>
      <c r="J129" s="11"/>
      <c r="K129" s="11"/>
      <c r="L129" s="15"/>
      <c r="M129" s="15"/>
      <c r="N129" s="15"/>
      <c r="O129" s="15"/>
      <c r="P129" s="15"/>
      <c r="Q129" s="11"/>
      <c r="R129" s="11"/>
      <c r="S129" s="11"/>
      <c r="T129" s="11"/>
      <c r="U129" s="15"/>
      <c r="V129" s="11"/>
      <c r="W129" s="11"/>
      <c r="X129" s="11"/>
      <c r="Y129" s="11"/>
      <c r="Z129" s="11"/>
    </row>
    <row r="130">
      <c r="A130" s="18"/>
      <c r="B130" s="11"/>
      <c r="C130" s="11"/>
      <c r="D130" s="11"/>
      <c r="E130" s="11"/>
      <c r="F130" s="11"/>
      <c r="G130" s="11"/>
      <c r="H130" s="11"/>
      <c r="I130" s="11"/>
      <c r="J130" s="11"/>
      <c r="K130" s="11"/>
      <c r="L130" s="15"/>
      <c r="M130" s="15"/>
      <c r="N130" s="15"/>
      <c r="O130" s="15"/>
      <c r="P130" s="15"/>
      <c r="Q130" s="11"/>
      <c r="R130" s="11"/>
      <c r="S130" s="11"/>
      <c r="T130" s="11"/>
      <c r="U130" s="15"/>
      <c r="V130" s="11"/>
      <c r="W130" s="11"/>
      <c r="X130" s="11"/>
      <c r="Y130" s="11"/>
      <c r="Z130" s="11"/>
    </row>
    <row r="131">
      <c r="A131" s="18"/>
      <c r="B131" s="11"/>
      <c r="C131" s="11"/>
      <c r="D131" s="11"/>
      <c r="E131" s="11"/>
      <c r="F131" s="11"/>
      <c r="G131" s="11"/>
      <c r="H131" s="11"/>
      <c r="I131" s="11"/>
      <c r="J131" s="11"/>
      <c r="K131" s="11"/>
      <c r="L131" s="15"/>
      <c r="M131" s="15"/>
      <c r="N131" s="15"/>
      <c r="O131" s="15"/>
      <c r="P131" s="15"/>
      <c r="Q131" s="11"/>
      <c r="R131" s="11"/>
      <c r="S131" s="11"/>
      <c r="T131" s="11"/>
      <c r="U131" s="15"/>
      <c r="V131" s="11"/>
      <c r="W131" s="11"/>
      <c r="X131" s="11"/>
      <c r="Y131" s="11"/>
      <c r="Z131" s="11"/>
    </row>
    <row r="132">
      <c r="A132" s="18"/>
      <c r="B132" s="11"/>
      <c r="C132" s="11"/>
      <c r="D132" s="11"/>
      <c r="E132" s="11"/>
      <c r="F132" s="11"/>
      <c r="G132" s="11"/>
      <c r="H132" s="11"/>
      <c r="I132" s="11"/>
      <c r="J132" s="11"/>
      <c r="K132" s="11"/>
      <c r="L132" s="15"/>
      <c r="M132" s="15"/>
      <c r="N132" s="15"/>
      <c r="O132" s="15"/>
      <c r="P132" s="15"/>
      <c r="Q132" s="11"/>
      <c r="R132" s="11"/>
      <c r="S132" s="11"/>
      <c r="T132" s="11"/>
      <c r="U132" s="15"/>
      <c r="V132" s="11"/>
      <c r="W132" s="11"/>
      <c r="X132" s="11"/>
      <c r="Y132" s="11"/>
      <c r="Z132" s="11"/>
    </row>
    <row r="133">
      <c r="A133" s="18"/>
      <c r="B133" s="11"/>
      <c r="C133" s="11"/>
      <c r="D133" s="11"/>
      <c r="E133" s="11"/>
      <c r="F133" s="11"/>
      <c r="G133" s="11"/>
      <c r="H133" s="11"/>
      <c r="I133" s="11"/>
      <c r="J133" s="11"/>
      <c r="K133" s="11"/>
      <c r="L133" s="15"/>
      <c r="M133" s="15"/>
      <c r="N133" s="15"/>
      <c r="O133" s="15"/>
      <c r="P133" s="15"/>
      <c r="Q133" s="11"/>
      <c r="R133" s="11"/>
      <c r="S133" s="11"/>
      <c r="T133" s="11"/>
      <c r="U133" s="15"/>
      <c r="V133" s="11"/>
      <c r="W133" s="11"/>
      <c r="X133" s="11"/>
      <c r="Y133" s="11"/>
      <c r="Z133" s="11"/>
    </row>
    <row r="134">
      <c r="A134" s="18"/>
      <c r="B134" s="11"/>
      <c r="C134" s="11"/>
      <c r="D134" s="11"/>
      <c r="E134" s="11"/>
      <c r="F134" s="11"/>
      <c r="G134" s="11"/>
      <c r="H134" s="11"/>
      <c r="I134" s="11"/>
      <c r="J134" s="11"/>
      <c r="K134" s="11"/>
      <c r="L134" s="15"/>
      <c r="M134" s="15"/>
      <c r="N134" s="15"/>
      <c r="O134" s="15"/>
      <c r="P134" s="15"/>
      <c r="Q134" s="11"/>
      <c r="R134" s="11"/>
      <c r="S134" s="11"/>
      <c r="T134" s="11"/>
      <c r="U134" s="15"/>
      <c r="V134" s="11"/>
      <c r="W134" s="11"/>
      <c r="X134" s="11"/>
      <c r="Y134" s="11"/>
      <c r="Z134" s="11"/>
    </row>
    <row r="135">
      <c r="A135" s="18"/>
      <c r="B135" s="11"/>
      <c r="C135" s="11"/>
      <c r="D135" s="11"/>
      <c r="E135" s="11"/>
      <c r="F135" s="11"/>
      <c r="G135" s="11"/>
      <c r="H135" s="11"/>
      <c r="I135" s="11"/>
      <c r="J135" s="11"/>
      <c r="K135" s="11"/>
      <c r="L135" s="15"/>
      <c r="M135" s="15"/>
      <c r="N135" s="15"/>
      <c r="O135" s="15"/>
      <c r="P135" s="15"/>
      <c r="Q135" s="11"/>
      <c r="R135" s="11"/>
      <c r="S135" s="11"/>
      <c r="T135" s="11"/>
      <c r="U135" s="15"/>
      <c r="V135" s="11"/>
      <c r="W135" s="11"/>
      <c r="X135" s="11"/>
      <c r="Y135" s="11"/>
      <c r="Z135" s="11"/>
    </row>
    <row r="136">
      <c r="A136" s="18"/>
      <c r="B136" s="11"/>
      <c r="C136" s="11"/>
      <c r="D136" s="11"/>
      <c r="E136" s="11"/>
      <c r="F136" s="11"/>
      <c r="G136" s="11"/>
      <c r="H136" s="11"/>
      <c r="I136" s="11"/>
      <c r="J136" s="11"/>
      <c r="K136" s="11"/>
      <c r="L136" s="15"/>
      <c r="M136" s="15"/>
      <c r="N136" s="15"/>
      <c r="O136" s="15"/>
      <c r="P136" s="15"/>
      <c r="Q136" s="11"/>
      <c r="R136" s="11"/>
      <c r="S136" s="11"/>
      <c r="T136" s="11"/>
      <c r="U136" s="15"/>
      <c r="V136" s="11"/>
      <c r="W136" s="11"/>
      <c r="X136" s="11"/>
      <c r="Y136" s="11"/>
      <c r="Z136" s="11"/>
    </row>
    <row r="137">
      <c r="A137" s="18"/>
      <c r="B137" s="11"/>
      <c r="C137" s="11"/>
      <c r="D137" s="11"/>
      <c r="E137" s="11"/>
      <c r="F137" s="11"/>
      <c r="G137" s="11"/>
      <c r="H137" s="11"/>
      <c r="I137" s="11"/>
      <c r="J137" s="11"/>
      <c r="K137" s="11"/>
      <c r="L137" s="15"/>
      <c r="M137" s="15"/>
      <c r="N137" s="15"/>
      <c r="O137" s="15"/>
      <c r="P137" s="15"/>
      <c r="Q137" s="11"/>
      <c r="R137" s="11"/>
      <c r="S137" s="11"/>
      <c r="T137" s="11"/>
      <c r="U137" s="15"/>
      <c r="V137" s="11"/>
      <c r="W137" s="11"/>
      <c r="X137" s="11"/>
      <c r="Y137" s="11"/>
      <c r="Z137" s="11"/>
    </row>
    <row r="138">
      <c r="A138" s="18"/>
      <c r="B138" s="11"/>
      <c r="C138" s="11"/>
      <c r="D138" s="11"/>
      <c r="E138" s="11"/>
      <c r="F138" s="11"/>
      <c r="G138" s="11"/>
      <c r="H138" s="11"/>
      <c r="I138" s="11"/>
      <c r="J138" s="11"/>
      <c r="K138" s="11"/>
      <c r="L138" s="15"/>
      <c r="M138" s="15"/>
      <c r="N138" s="15"/>
      <c r="O138" s="15"/>
      <c r="P138" s="15"/>
      <c r="Q138" s="11"/>
      <c r="R138" s="11"/>
      <c r="S138" s="11"/>
      <c r="T138" s="11"/>
      <c r="U138" s="15"/>
      <c r="V138" s="11"/>
      <c r="W138" s="11"/>
      <c r="X138" s="11"/>
      <c r="Y138" s="11"/>
      <c r="Z138" s="11"/>
    </row>
    <row r="139">
      <c r="A139" s="18"/>
      <c r="B139" s="11"/>
      <c r="C139" s="11"/>
      <c r="D139" s="11"/>
      <c r="E139" s="11"/>
      <c r="F139" s="11"/>
      <c r="G139" s="11"/>
      <c r="H139" s="11"/>
      <c r="I139" s="11"/>
      <c r="J139" s="11"/>
      <c r="K139" s="11"/>
      <c r="L139" s="15"/>
      <c r="M139" s="15"/>
      <c r="N139" s="15"/>
      <c r="O139" s="15"/>
      <c r="P139" s="15"/>
      <c r="Q139" s="11"/>
      <c r="R139" s="11"/>
      <c r="S139" s="11"/>
      <c r="T139" s="11"/>
      <c r="U139" s="15"/>
      <c r="V139" s="11"/>
      <c r="W139" s="11"/>
      <c r="X139" s="11"/>
      <c r="Y139" s="11"/>
      <c r="Z139" s="11"/>
    </row>
    <row r="140">
      <c r="A140" s="18"/>
      <c r="B140" s="11"/>
      <c r="C140" s="11"/>
      <c r="D140" s="11"/>
      <c r="E140" s="11"/>
      <c r="F140" s="11"/>
      <c r="G140" s="11"/>
      <c r="H140" s="11"/>
      <c r="I140" s="11"/>
      <c r="J140" s="11"/>
      <c r="K140" s="11"/>
      <c r="L140" s="15"/>
      <c r="M140" s="15"/>
      <c r="N140" s="15"/>
      <c r="O140" s="15"/>
      <c r="P140" s="15"/>
      <c r="Q140" s="11"/>
      <c r="R140" s="11"/>
      <c r="S140" s="11"/>
      <c r="T140" s="11"/>
      <c r="U140" s="15"/>
      <c r="V140" s="11"/>
      <c r="W140" s="11"/>
      <c r="X140" s="11"/>
      <c r="Y140" s="11"/>
      <c r="Z140" s="11"/>
    </row>
    <row r="141">
      <c r="A141" s="18"/>
      <c r="B141" s="11"/>
      <c r="C141" s="11"/>
      <c r="D141" s="11"/>
      <c r="E141" s="11"/>
      <c r="F141" s="11"/>
      <c r="G141" s="11"/>
      <c r="H141" s="11"/>
      <c r="I141" s="11"/>
      <c r="J141" s="11"/>
      <c r="K141" s="11"/>
      <c r="L141" s="15"/>
      <c r="M141" s="15"/>
      <c r="N141" s="15"/>
      <c r="O141" s="15"/>
      <c r="P141" s="15"/>
      <c r="Q141" s="11"/>
      <c r="R141" s="11"/>
      <c r="S141" s="11"/>
      <c r="T141" s="11"/>
      <c r="U141" s="15"/>
      <c r="V141" s="11"/>
      <c r="W141" s="11"/>
      <c r="X141" s="11"/>
      <c r="Y141" s="11"/>
      <c r="Z141" s="11"/>
    </row>
    <row r="142">
      <c r="A142" s="18"/>
      <c r="B142" s="11"/>
      <c r="C142" s="11"/>
      <c r="D142" s="11"/>
      <c r="E142" s="11"/>
      <c r="F142" s="11"/>
      <c r="G142" s="11"/>
      <c r="H142" s="11"/>
      <c r="I142" s="11"/>
      <c r="J142" s="11"/>
      <c r="K142" s="11"/>
      <c r="L142" s="15"/>
      <c r="M142" s="15"/>
      <c r="N142" s="15"/>
      <c r="O142" s="15"/>
      <c r="P142" s="15"/>
      <c r="Q142" s="11"/>
      <c r="R142" s="11"/>
      <c r="S142" s="11"/>
      <c r="T142" s="11"/>
      <c r="U142" s="15"/>
      <c r="V142" s="11"/>
      <c r="W142" s="11"/>
      <c r="X142" s="11"/>
      <c r="Y142" s="11"/>
      <c r="Z142" s="11"/>
    </row>
    <row r="143">
      <c r="A143" s="18"/>
      <c r="B143" s="11"/>
      <c r="C143" s="11"/>
      <c r="D143" s="11"/>
      <c r="E143" s="11"/>
      <c r="F143" s="11"/>
      <c r="G143" s="11"/>
      <c r="H143" s="11"/>
      <c r="I143" s="11"/>
      <c r="J143" s="11"/>
      <c r="K143" s="11"/>
      <c r="L143" s="15"/>
      <c r="M143" s="15"/>
      <c r="N143" s="15"/>
      <c r="O143" s="15"/>
      <c r="P143" s="15"/>
      <c r="Q143" s="11"/>
      <c r="R143" s="11"/>
      <c r="S143" s="11"/>
      <c r="T143" s="11"/>
      <c r="U143" s="15"/>
      <c r="V143" s="11"/>
      <c r="W143" s="11"/>
      <c r="X143" s="11"/>
      <c r="Y143" s="11"/>
      <c r="Z143" s="11"/>
    </row>
    <row r="144">
      <c r="A144" s="18"/>
      <c r="B144" s="11"/>
      <c r="C144" s="11"/>
      <c r="D144" s="11"/>
      <c r="E144" s="11"/>
      <c r="F144" s="11"/>
      <c r="G144" s="11"/>
      <c r="H144" s="11"/>
      <c r="I144" s="11"/>
      <c r="J144" s="11"/>
      <c r="K144" s="11"/>
      <c r="L144" s="15"/>
      <c r="M144" s="15"/>
      <c r="N144" s="15"/>
      <c r="O144" s="15"/>
      <c r="P144" s="15"/>
      <c r="Q144" s="11"/>
      <c r="R144" s="11"/>
      <c r="S144" s="11"/>
      <c r="T144" s="11"/>
      <c r="U144" s="15"/>
      <c r="V144" s="11"/>
      <c r="W144" s="11"/>
      <c r="X144" s="11"/>
      <c r="Y144" s="11"/>
      <c r="Z144" s="11"/>
    </row>
    <row r="145">
      <c r="A145" s="18"/>
      <c r="B145" s="11"/>
      <c r="C145" s="11"/>
      <c r="D145" s="11"/>
      <c r="E145" s="11"/>
      <c r="F145" s="11"/>
      <c r="G145" s="11"/>
      <c r="H145" s="11"/>
      <c r="I145" s="11"/>
      <c r="J145" s="11"/>
      <c r="K145" s="11"/>
      <c r="L145" s="15"/>
      <c r="M145" s="15"/>
      <c r="N145" s="15"/>
      <c r="O145" s="15"/>
      <c r="P145" s="15"/>
      <c r="Q145" s="11"/>
      <c r="R145" s="11"/>
      <c r="S145" s="11"/>
      <c r="T145" s="11"/>
      <c r="U145" s="15"/>
      <c r="V145" s="11"/>
      <c r="W145" s="11"/>
      <c r="X145" s="11"/>
      <c r="Y145" s="11"/>
      <c r="Z145" s="11"/>
    </row>
    <row r="146">
      <c r="A146" s="18"/>
      <c r="B146" s="11"/>
      <c r="C146" s="11"/>
      <c r="D146" s="11"/>
      <c r="E146" s="11"/>
      <c r="F146" s="11"/>
      <c r="G146" s="11"/>
      <c r="H146" s="11"/>
      <c r="I146" s="11"/>
      <c r="J146" s="11"/>
      <c r="K146" s="11"/>
      <c r="L146" s="15"/>
      <c r="M146" s="15"/>
      <c r="N146" s="15"/>
      <c r="O146" s="15"/>
      <c r="P146" s="15"/>
      <c r="Q146" s="11"/>
      <c r="R146" s="11"/>
      <c r="S146" s="11"/>
      <c r="T146" s="11"/>
      <c r="U146" s="15"/>
      <c r="V146" s="11"/>
      <c r="W146" s="11"/>
      <c r="X146" s="11"/>
      <c r="Y146" s="11"/>
      <c r="Z146" s="11"/>
    </row>
    <row r="147">
      <c r="A147" s="18"/>
      <c r="B147" s="11"/>
      <c r="C147" s="11"/>
      <c r="D147" s="11"/>
      <c r="E147" s="11"/>
      <c r="F147" s="11"/>
      <c r="G147" s="11"/>
      <c r="H147" s="11"/>
      <c r="I147" s="11"/>
      <c r="J147" s="11"/>
      <c r="K147" s="11"/>
      <c r="L147" s="15"/>
      <c r="M147" s="15"/>
      <c r="N147" s="15"/>
      <c r="O147" s="15"/>
      <c r="P147" s="15"/>
      <c r="Q147" s="11"/>
      <c r="R147" s="11"/>
      <c r="S147" s="11"/>
      <c r="T147" s="11"/>
      <c r="U147" s="15"/>
      <c r="V147" s="11"/>
      <c r="W147" s="11"/>
      <c r="X147" s="11"/>
      <c r="Y147" s="11"/>
      <c r="Z147" s="11"/>
    </row>
    <row r="148">
      <c r="A148" s="18"/>
      <c r="B148" s="11"/>
      <c r="C148" s="11"/>
      <c r="D148" s="11"/>
      <c r="E148" s="11"/>
      <c r="F148" s="11"/>
      <c r="G148" s="11"/>
      <c r="H148" s="11"/>
      <c r="I148" s="11"/>
      <c r="J148" s="11"/>
      <c r="K148" s="11"/>
      <c r="L148" s="15"/>
      <c r="M148" s="15"/>
      <c r="N148" s="15"/>
      <c r="O148" s="15"/>
      <c r="P148" s="15"/>
      <c r="Q148" s="11"/>
      <c r="R148" s="11"/>
      <c r="S148" s="11"/>
      <c r="T148" s="11"/>
      <c r="U148" s="15"/>
      <c r="V148" s="11"/>
      <c r="W148" s="11"/>
      <c r="X148" s="11"/>
      <c r="Y148" s="11"/>
      <c r="Z148" s="11"/>
    </row>
    <row r="149">
      <c r="A149" s="18"/>
      <c r="B149" s="11"/>
      <c r="C149" s="11"/>
      <c r="D149" s="11"/>
      <c r="E149" s="11"/>
      <c r="F149" s="11"/>
      <c r="G149" s="11"/>
      <c r="H149" s="11"/>
      <c r="I149" s="11"/>
      <c r="J149" s="11"/>
      <c r="K149" s="11"/>
      <c r="L149" s="15"/>
      <c r="M149" s="15"/>
      <c r="N149" s="15"/>
      <c r="O149" s="15"/>
      <c r="P149" s="15"/>
      <c r="Q149" s="11"/>
      <c r="R149" s="11"/>
      <c r="S149" s="11"/>
      <c r="T149" s="11"/>
      <c r="U149" s="15"/>
      <c r="V149" s="11"/>
      <c r="W149" s="11"/>
      <c r="X149" s="11"/>
      <c r="Y149" s="11"/>
      <c r="Z149" s="11"/>
    </row>
    <row r="150">
      <c r="A150" s="18"/>
      <c r="B150" s="11"/>
      <c r="C150" s="11"/>
      <c r="D150" s="11"/>
      <c r="E150" s="11"/>
      <c r="F150" s="11"/>
      <c r="G150" s="11"/>
      <c r="H150" s="11"/>
      <c r="I150" s="11"/>
      <c r="J150" s="11"/>
      <c r="K150" s="11"/>
      <c r="L150" s="15"/>
      <c r="M150" s="15"/>
      <c r="N150" s="15"/>
      <c r="O150" s="15"/>
      <c r="P150" s="15"/>
      <c r="Q150" s="11"/>
      <c r="R150" s="11"/>
      <c r="S150" s="11"/>
      <c r="T150" s="11"/>
      <c r="U150" s="15"/>
      <c r="V150" s="11"/>
      <c r="W150" s="11"/>
      <c r="X150" s="11"/>
      <c r="Y150" s="11"/>
      <c r="Z150" s="11"/>
    </row>
    <row r="151">
      <c r="A151" s="18"/>
      <c r="B151" s="11"/>
      <c r="C151" s="11"/>
      <c r="D151" s="11"/>
      <c r="E151" s="11"/>
      <c r="F151" s="11"/>
      <c r="G151" s="11"/>
      <c r="H151" s="11"/>
      <c r="I151" s="11"/>
      <c r="J151" s="11"/>
      <c r="K151" s="11"/>
      <c r="L151" s="15"/>
      <c r="M151" s="15"/>
      <c r="N151" s="15"/>
      <c r="O151" s="15"/>
      <c r="P151" s="15"/>
      <c r="Q151" s="11"/>
      <c r="R151" s="11"/>
      <c r="S151" s="11"/>
      <c r="T151" s="11"/>
      <c r="U151" s="15"/>
      <c r="V151" s="11"/>
      <c r="W151" s="11"/>
      <c r="X151" s="11"/>
      <c r="Y151" s="11"/>
      <c r="Z151" s="11"/>
    </row>
    <row r="152">
      <c r="A152" s="18"/>
      <c r="B152" s="11"/>
      <c r="C152" s="11"/>
      <c r="D152" s="11"/>
      <c r="E152" s="11"/>
      <c r="F152" s="11"/>
      <c r="G152" s="11"/>
      <c r="H152" s="11"/>
      <c r="I152" s="11"/>
      <c r="J152" s="11"/>
      <c r="K152" s="11"/>
      <c r="L152" s="15"/>
      <c r="M152" s="15"/>
      <c r="N152" s="15"/>
      <c r="O152" s="15"/>
      <c r="P152" s="15"/>
      <c r="Q152" s="11"/>
      <c r="R152" s="11"/>
      <c r="S152" s="11"/>
      <c r="T152" s="11"/>
      <c r="U152" s="15"/>
      <c r="V152" s="11"/>
      <c r="W152" s="11"/>
      <c r="X152" s="11"/>
      <c r="Y152" s="11"/>
      <c r="Z152" s="11"/>
    </row>
    <row r="153">
      <c r="A153" s="18"/>
      <c r="B153" s="11"/>
      <c r="C153" s="11"/>
      <c r="D153" s="11"/>
      <c r="E153" s="11"/>
      <c r="F153" s="11"/>
      <c r="G153" s="11"/>
      <c r="H153" s="11"/>
      <c r="I153" s="11"/>
      <c r="J153" s="11"/>
      <c r="K153" s="11"/>
      <c r="L153" s="15"/>
      <c r="M153" s="15"/>
      <c r="N153" s="15"/>
      <c r="O153" s="15"/>
      <c r="P153" s="15"/>
      <c r="Q153" s="11"/>
      <c r="R153" s="11"/>
      <c r="S153" s="11"/>
      <c r="T153" s="11"/>
      <c r="U153" s="15"/>
      <c r="V153" s="11"/>
      <c r="W153" s="11"/>
      <c r="X153" s="11"/>
      <c r="Y153" s="11"/>
      <c r="Z153" s="11"/>
    </row>
    <row r="154">
      <c r="A154" s="18"/>
      <c r="B154" s="11"/>
      <c r="C154" s="11"/>
      <c r="D154" s="11"/>
      <c r="E154" s="11"/>
      <c r="F154" s="11"/>
      <c r="G154" s="11"/>
      <c r="H154" s="11"/>
      <c r="I154" s="11"/>
      <c r="J154" s="11"/>
      <c r="K154" s="11"/>
      <c r="L154" s="15"/>
      <c r="M154" s="15"/>
      <c r="N154" s="15"/>
      <c r="O154" s="15"/>
      <c r="P154" s="15"/>
      <c r="Q154" s="11"/>
      <c r="R154" s="11"/>
      <c r="S154" s="11"/>
      <c r="T154" s="11"/>
      <c r="U154" s="15"/>
      <c r="V154" s="11"/>
      <c r="W154" s="11"/>
      <c r="X154" s="11"/>
      <c r="Y154" s="11"/>
      <c r="Z154" s="11"/>
    </row>
    <row r="155">
      <c r="A155" s="18"/>
      <c r="B155" s="11"/>
      <c r="C155" s="11"/>
      <c r="D155" s="11"/>
      <c r="E155" s="11"/>
      <c r="F155" s="11"/>
      <c r="G155" s="11"/>
      <c r="H155" s="11"/>
      <c r="I155" s="11"/>
      <c r="J155" s="11"/>
      <c r="K155" s="11"/>
      <c r="L155" s="15"/>
      <c r="M155" s="15"/>
      <c r="N155" s="15"/>
      <c r="O155" s="15"/>
      <c r="P155" s="15"/>
      <c r="Q155" s="11"/>
      <c r="R155" s="11"/>
      <c r="S155" s="11"/>
      <c r="T155" s="11"/>
      <c r="U155" s="15"/>
      <c r="V155" s="11"/>
      <c r="W155" s="11"/>
      <c r="X155" s="11"/>
      <c r="Y155" s="11"/>
      <c r="Z155" s="11"/>
    </row>
    <row r="156">
      <c r="A156" s="18"/>
      <c r="B156" s="11"/>
      <c r="C156" s="11"/>
      <c r="D156" s="11"/>
      <c r="E156" s="11"/>
      <c r="F156" s="11"/>
      <c r="G156" s="11"/>
      <c r="H156" s="11"/>
      <c r="I156" s="11"/>
      <c r="J156" s="11"/>
      <c r="K156" s="11"/>
      <c r="L156" s="15"/>
      <c r="M156" s="15"/>
      <c r="N156" s="15"/>
      <c r="O156" s="15"/>
      <c r="P156" s="15"/>
      <c r="Q156" s="11"/>
      <c r="R156" s="11"/>
      <c r="S156" s="11"/>
      <c r="T156" s="11"/>
      <c r="U156" s="15"/>
      <c r="V156" s="11"/>
      <c r="W156" s="11"/>
      <c r="X156" s="11"/>
      <c r="Y156" s="11"/>
      <c r="Z156" s="11"/>
    </row>
    <row r="157">
      <c r="A157" s="18"/>
      <c r="B157" s="11"/>
      <c r="C157" s="11"/>
      <c r="D157" s="11"/>
      <c r="E157" s="11"/>
      <c r="F157" s="11"/>
      <c r="G157" s="11"/>
      <c r="H157" s="11"/>
      <c r="I157" s="11"/>
      <c r="J157" s="11"/>
      <c r="K157" s="11"/>
      <c r="L157" s="15"/>
      <c r="M157" s="15"/>
      <c r="N157" s="15"/>
      <c r="O157" s="15"/>
      <c r="P157" s="15"/>
      <c r="Q157" s="11"/>
      <c r="R157" s="11"/>
      <c r="S157" s="11"/>
      <c r="T157" s="11"/>
      <c r="U157" s="15"/>
      <c r="V157" s="11"/>
      <c r="W157" s="11"/>
      <c r="X157" s="11"/>
      <c r="Y157" s="11"/>
      <c r="Z157" s="11"/>
    </row>
    <row r="158">
      <c r="A158" s="18"/>
      <c r="B158" s="11"/>
      <c r="C158" s="11"/>
      <c r="D158" s="11"/>
      <c r="E158" s="11"/>
      <c r="F158" s="11"/>
      <c r="G158" s="11"/>
      <c r="H158" s="11"/>
      <c r="I158" s="11"/>
      <c r="J158" s="11"/>
      <c r="K158" s="11"/>
      <c r="L158" s="15"/>
      <c r="M158" s="15"/>
      <c r="N158" s="15"/>
      <c r="O158" s="15"/>
      <c r="P158" s="15"/>
      <c r="Q158" s="11"/>
      <c r="R158" s="11"/>
      <c r="S158" s="11"/>
      <c r="T158" s="11"/>
      <c r="U158" s="15"/>
      <c r="V158" s="11"/>
      <c r="W158" s="11"/>
      <c r="X158" s="11"/>
      <c r="Y158" s="11"/>
      <c r="Z158" s="11"/>
    </row>
    <row r="159">
      <c r="A159" s="18"/>
      <c r="B159" s="11"/>
      <c r="C159" s="11"/>
      <c r="D159" s="11"/>
      <c r="E159" s="11"/>
      <c r="F159" s="11"/>
      <c r="G159" s="11"/>
      <c r="H159" s="11"/>
      <c r="I159" s="11"/>
      <c r="J159" s="11"/>
      <c r="K159" s="11"/>
      <c r="L159" s="15"/>
      <c r="M159" s="15"/>
      <c r="N159" s="15"/>
      <c r="O159" s="15"/>
      <c r="P159" s="15"/>
      <c r="Q159" s="11"/>
      <c r="R159" s="11"/>
      <c r="S159" s="11"/>
      <c r="T159" s="11"/>
      <c r="U159" s="15"/>
      <c r="V159" s="11"/>
      <c r="W159" s="11"/>
      <c r="X159" s="11"/>
      <c r="Y159" s="11"/>
      <c r="Z159" s="11"/>
    </row>
    <row r="160">
      <c r="A160" s="18"/>
      <c r="B160" s="11"/>
      <c r="C160" s="11"/>
      <c r="D160" s="11"/>
      <c r="E160" s="11"/>
      <c r="F160" s="11"/>
      <c r="G160" s="11"/>
      <c r="H160" s="11"/>
      <c r="I160" s="11"/>
      <c r="J160" s="11"/>
      <c r="K160" s="11"/>
      <c r="L160" s="15"/>
      <c r="M160" s="15"/>
      <c r="N160" s="15"/>
      <c r="O160" s="15"/>
      <c r="P160" s="15"/>
      <c r="Q160" s="11"/>
      <c r="R160" s="11"/>
      <c r="S160" s="11"/>
      <c r="T160" s="11"/>
      <c r="U160" s="15"/>
      <c r="V160" s="11"/>
      <c r="W160" s="11"/>
      <c r="X160" s="11"/>
      <c r="Y160" s="11"/>
      <c r="Z160" s="11"/>
    </row>
    <row r="161">
      <c r="A161" s="18"/>
      <c r="B161" s="11"/>
      <c r="C161" s="11"/>
      <c r="D161" s="11"/>
      <c r="E161" s="11"/>
      <c r="F161" s="11"/>
      <c r="G161" s="11"/>
      <c r="H161" s="11"/>
      <c r="I161" s="11"/>
      <c r="J161" s="11"/>
      <c r="K161" s="11"/>
      <c r="L161" s="15"/>
      <c r="M161" s="15"/>
      <c r="N161" s="15"/>
      <c r="O161" s="15"/>
      <c r="P161" s="15"/>
      <c r="Q161" s="11"/>
      <c r="R161" s="11"/>
      <c r="S161" s="11"/>
      <c r="T161" s="11"/>
      <c r="U161" s="15"/>
      <c r="V161" s="11"/>
      <c r="W161" s="11"/>
      <c r="X161" s="11"/>
      <c r="Y161" s="11"/>
      <c r="Z161" s="11"/>
    </row>
    <row r="162">
      <c r="A162" s="18"/>
      <c r="B162" s="11"/>
      <c r="C162" s="11"/>
      <c r="D162" s="11"/>
      <c r="E162" s="11"/>
      <c r="F162" s="11"/>
      <c r="G162" s="11"/>
      <c r="H162" s="11"/>
      <c r="I162" s="11"/>
      <c r="J162" s="11"/>
      <c r="K162" s="11"/>
      <c r="L162" s="15"/>
      <c r="M162" s="15"/>
      <c r="N162" s="15"/>
      <c r="O162" s="15"/>
      <c r="P162" s="15"/>
      <c r="Q162" s="11"/>
      <c r="R162" s="11"/>
      <c r="S162" s="11"/>
      <c r="T162" s="11"/>
      <c r="U162" s="15"/>
      <c r="V162" s="11"/>
      <c r="W162" s="11"/>
      <c r="X162" s="11"/>
      <c r="Y162" s="11"/>
      <c r="Z162" s="11"/>
    </row>
    <row r="163">
      <c r="A163" s="18"/>
      <c r="B163" s="11"/>
      <c r="C163" s="11"/>
      <c r="D163" s="11"/>
      <c r="E163" s="11"/>
      <c r="F163" s="11"/>
      <c r="G163" s="11"/>
      <c r="H163" s="11"/>
      <c r="I163" s="11"/>
      <c r="J163" s="11"/>
      <c r="K163" s="11"/>
      <c r="L163" s="15"/>
      <c r="M163" s="15"/>
      <c r="N163" s="15"/>
      <c r="O163" s="15"/>
      <c r="P163" s="15"/>
      <c r="Q163" s="11"/>
      <c r="R163" s="11"/>
      <c r="S163" s="11"/>
      <c r="T163" s="11"/>
      <c r="U163" s="15"/>
      <c r="V163" s="11"/>
      <c r="W163" s="11"/>
      <c r="X163" s="11"/>
      <c r="Y163" s="11"/>
      <c r="Z163" s="11"/>
    </row>
    <row r="164">
      <c r="A164" s="18"/>
      <c r="B164" s="11"/>
      <c r="C164" s="11"/>
      <c r="D164" s="11"/>
      <c r="E164" s="11"/>
      <c r="F164" s="11"/>
      <c r="G164" s="11"/>
      <c r="H164" s="11"/>
      <c r="I164" s="11"/>
      <c r="J164" s="11"/>
      <c r="K164" s="11"/>
      <c r="L164" s="15"/>
      <c r="M164" s="15"/>
      <c r="N164" s="15"/>
      <c r="O164" s="15"/>
      <c r="P164" s="15"/>
      <c r="Q164" s="11"/>
      <c r="R164" s="11"/>
      <c r="S164" s="11"/>
      <c r="T164" s="11"/>
      <c r="U164" s="15"/>
      <c r="V164" s="11"/>
      <c r="W164" s="11"/>
      <c r="X164" s="11"/>
      <c r="Y164" s="11"/>
      <c r="Z164" s="11"/>
    </row>
    <row r="165">
      <c r="A165" s="18"/>
      <c r="B165" s="11"/>
      <c r="C165" s="11"/>
      <c r="D165" s="11"/>
      <c r="E165" s="11"/>
      <c r="F165" s="11"/>
      <c r="G165" s="11"/>
      <c r="H165" s="11"/>
      <c r="I165" s="11"/>
      <c r="J165" s="11"/>
      <c r="K165" s="11"/>
      <c r="L165" s="15"/>
      <c r="M165" s="15"/>
      <c r="N165" s="15"/>
      <c r="O165" s="15"/>
      <c r="P165" s="15"/>
      <c r="Q165" s="11"/>
      <c r="R165" s="11"/>
      <c r="S165" s="11"/>
      <c r="T165" s="11"/>
      <c r="U165" s="15"/>
      <c r="V165" s="11"/>
      <c r="W165" s="11"/>
      <c r="X165" s="11"/>
      <c r="Y165" s="11"/>
      <c r="Z165" s="11"/>
    </row>
    <row r="166">
      <c r="A166" s="18"/>
      <c r="B166" s="11"/>
      <c r="C166" s="11"/>
      <c r="D166" s="11"/>
      <c r="E166" s="11"/>
      <c r="F166" s="11"/>
      <c r="G166" s="11"/>
      <c r="H166" s="11"/>
      <c r="I166" s="11"/>
      <c r="J166" s="11"/>
      <c r="K166" s="11"/>
      <c r="L166" s="15"/>
      <c r="M166" s="15"/>
      <c r="N166" s="15"/>
      <c r="O166" s="15"/>
      <c r="P166" s="15"/>
      <c r="Q166" s="11"/>
      <c r="R166" s="11"/>
      <c r="S166" s="11"/>
      <c r="T166" s="11"/>
      <c r="U166" s="15"/>
      <c r="V166" s="11"/>
      <c r="W166" s="11"/>
      <c r="X166" s="11"/>
      <c r="Y166" s="11"/>
      <c r="Z166" s="11"/>
    </row>
    <row r="167">
      <c r="A167" s="18"/>
      <c r="B167" s="11"/>
      <c r="C167" s="11"/>
      <c r="D167" s="11"/>
      <c r="E167" s="11"/>
      <c r="F167" s="11"/>
      <c r="G167" s="11"/>
      <c r="H167" s="11"/>
      <c r="I167" s="11"/>
      <c r="J167" s="11"/>
      <c r="K167" s="11"/>
      <c r="L167" s="15"/>
      <c r="M167" s="15"/>
      <c r="N167" s="15"/>
      <c r="O167" s="15"/>
      <c r="P167" s="15"/>
      <c r="Q167" s="11"/>
      <c r="R167" s="11"/>
      <c r="S167" s="11"/>
      <c r="T167" s="11"/>
      <c r="U167" s="15"/>
      <c r="V167" s="11"/>
      <c r="W167" s="11"/>
      <c r="X167" s="11"/>
      <c r="Y167" s="11"/>
      <c r="Z167" s="11"/>
    </row>
    <row r="168">
      <c r="A168" s="18"/>
      <c r="B168" s="11"/>
      <c r="C168" s="11"/>
      <c r="D168" s="11"/>
      <c r="E168" s="11"/>
      <c r="F168" s="11"/>
      <c r="G168" s="11"/>
      <c r="H168" s="11"/>
      <c r="I168" s="11"/>
      <c r="J168" s="11"/>
      <c r="K168" s="11"/>
      <c r="L168" s="15"/>
      <c r="M168" s="15"/>
      <c r="N168" s="15"/>
      <c r="O168" s="15"/>
      <c r="P168" s="15"/>
      <c r="Q168" s="11"/>
      <c r="R168" s="11"/>
      <c r="S168" s="11"/>
      <c r="T168" s="11"/>
      <c r="U168" s="15"/>
      <c r="V168" s="11"/>
      <c r="W168" s="11"/>
      <c r="X168" s="11"/>
      <c r="Y168" s="11"/>
      <c r="Z168" s="11"/>
    </row>
    <row r="169">
      <c r="A169" s="18"/>
      <c r="B169" s="11"/>
      <c r="C169" s="11"/>
      <c r="D169" s="11"/>
      <c r="E169" s="11"/>
      <c r="F169" s="11"/>
      <c r="G169" s="11"/>
      <c r="H169" s="11"/>
      <c r="I169" s="11"/>
      <c r="J169" s="11"/>
      <c r="K169" s="11"/>
      <c r="L169" s="15"/>
      <c r="M169" s="15"/>
      <c r="N169" s="15"/>
      <c r="O169" s="15"/>
      <c r="P169" s="15"/>
      <c r="Q169" s="11"/>
      <c r="R169" s="11"/>
      <c r="S169" s="11"/>
      <c r="T169" s="11"/>
      <c r="U169" s="15"/>
      <c r="V169" s="11"/>
      <c r="W169" s="11"/>
      <c r="X169" s="11"/>
      <c r="Y169" s="11"/>
      <c r="Z169" s="11"/>
    </row>
    <row r="170">
      <c r="A170" s="18"/>
      <c r="B170" s="11"/>
      <c r="C170" s="11"/>
      <c r="D170" s="11"/>
      <c r="E170" s="11"/>
      <c r="F170" s="11"/>
      <c r="G170" s="11"/>
      <c r="H170" s="11"/>
      <c r="I170" s="11"/>
      <c r="J170" s="11"/>
      <c r="K170" s="11"/>
      <c r="L170" s="15"/>
      <c r="M170" s="15"/>
      <c r="N170" s="15"/>
      <c r="O170" s="15"/>
      <c r="P170" s="15"/>
      <c r="Q170" s="11"/>
      <c r="R170" s="11"/>
      <c r="S170" s="11"/>
      <c r="T170" s="11"/>
      <c r="U170" s="15"/>
      <c r="V170" s="11"/>
      <c r="W170" s="11"/>
      <c r="X170" s="11"/>
      <c r="Y170" s="11"/>
      <c r="Z170" s="11"/>
    </row>
    <row r="171">
      <c r="A171" s="18"/>
      <c r="B171" s="11"/>
      <c r="C171" s="11"/>
      <c r="D171" s="11"/>
      <c r="E171" s="11"/>
      <c r="F171" s="11"/>
      <c r="G171" s="11"/>
      <c r="H171" s="11"/>
      <c r="I171" s="11"/>
      <c r="J171" s="11"/>
      <c r="K171" s="11"/>
      <c r="L171" s="15"/>
      <c r="M171" s="15"/>
      <c r="N171" s="15"/>
      <c r="O171" s="15"/>
      <c r="P171" s="15"/>
      <c r="Q171" s="11"/>
      <c r="R171" s="11"/>
      <c r="S171" s="11"/>
      <c r="T171" s="11"/>
      <c r="U171" s="15"/>
      <c r="V171" s="11"/>
      <c r="W171" s="11"/>
      <c r="X171" s="11"/>
      <c r="Y171" s="11"/>
      <c r="Z171" s="11"/>
    </row>
    <row r="172">
      <c r="A172" s="18"/>
      <c r="B172" s="11"/>
      <c r="C172" s="11"/>
      <c r="D172" s="11"/>
      <c r="E172" s="11"/>
      <c r="F172" s="11"/>
      <c r="G172" s="11"/>
      <c r="H172" s="11"/>
      <c r="I172" s="11"/>
      <c r="J172" s="11"/>
      <c r="K172" s="11"/>
      <c r="L172" s="15"/>
      <c r="M172" s="15"/>
      <c r="N172" s="15"/>
      <c r="O172" s="15"/>
      <c r="P172" s="15"/>
      <c r="Q172" s="11"/>
      <c r="R172" s="11"/>
      <c r="S172" s="11"/>
      <c r="T172" s="11"/>
      <c r="U172" s="15"/>
      <c r="V172" s="11"/>
      <c r="W172" s="11"/>
      <c r="X172" s="11"/>
      <c r="Y172" s="11"/>
      <c r="Z172" s="11"/>
    </row>
    <row r="173">
      <c r="A173" s="18"/>
      <c r="B173" s="11"/>
      <c r="C173" s="11"/>
      <c r="D173" s="11"/>
      <c r="E173" s="11"/>
      <c r="F173" s="11"/>
      <c r="G173" s="11"/>
      <c r="H173" s="11"/>
      <c r="I173" s="11"/>
      <c r="J173" s="11"/>
      <c r="K173" s="11"/>
      <c r="L173" s="15"/>
      <c r="M173" s="15"/>
      <c r="N173" s="15"/>
      <c r="O173" s="15"/>
      <c r="P173" s="15"/>
      <c r="Q173" s="11"/>
      <c r="R173" s="11"/>
      <c r="S173" s="11"/>
      <c r="T173" s="11"/>
      <c r="U173" s="15"/>
      <c r="V173" s="11"/>
      <c r="W173" s="11"/>
      <c r="X173" s="11"/>
      <c r="Y173" s="11"/>
      <c r="Z173" s="11"/>
    </row>
    <row r="174">
      <c r="A174" s="18"/>
      <c r="B174" s="11"/>
      <c r="C174" s="11"/>
      <c r="D174" s="11"/>
      <c r="E174" s="11"/>
      <c r="F174" s="11"/>
      <c r="G174" s="11"/>
      <c r="H174" s="11"/>
      <c r="I174" s="11"/>
      <c r="J174" s="11"/>
      <c r="K174" s="11"/>
      <c r="L174" s="15"/>
      <c r="M174" s="15"/>
      <c r="N174" s="15"/>
      <c r="O174" s="15"/>
      <c r="P174" s="15"/>
      <c r="Q174" s="11"/>
      <c r="R174" s="11"/>
      <c r="S174" s="11"/>
      <c r="T174" s="11"/>
      <c r="U174" s="15"/>
      <c r="V174" s="11"/>
      <c r="W174" s="11"/>
      <c r="X174" s="11"/>
      <c r="Y174" s="11"/>
      <c r="Z174" s="11"/>
    </row>
    <row r="175">
      <c r="A175" s="18"/>
      <c r="B175" s="11"/>
      <c r="C175" s="11"/>
      <c r="D175" s="11"/>
      <c r="E175" s="11"/>
      <c r="F175" s="11"/>
      <c r="G175" s="11"/>
      <c r="H175" s="11"/>
      <c r="I175" s="11"/>
      <c r="J175" s="11"/>
      <c r="K175" s="11"/>
      <c r="L175" s="15"/>
      <c r="M175" s="15"/>
      <c r="N175" s="15"/>
      <c r="O175" s="15"/>
      <c r="P175" s="15"/>
      <c r="Q175" s="11"/>
      <c r="R175" s="11"/>
      <c r="S175" s="11"/>
      <c r="T175" s="11"/>
      <c r="U175" s="15"/>
      <c r="V175" s="11"/>
      <c r="W175" s="11"/>
      <c r="X175" s="11"/>
      <c r="Y175" s="11"/>
      <c r="Z175" s="11"/>
    </row>
    <row r="176">
      <c r="A176" s="18"/>
      <c r="B176" s="11"/>
      <c r="C176" s="11"/>
      <c r="D176" s="11"/>
      <c r="E176" s="11"/>
      <c r="F176" s="11"/>
      <c r="G176" s="11"/>
      <c r="H176" s="11"/>
      <c r="I176" s="11"/>
      <c r="J176" s="11"/>
      <c r="K176" s="11"/>
      <c r="L176" s="15"/>
      <c r="M176" s="15"/>
      <c r="N176" s="15"/>
      <c r="O176" s="15"/>
      <c r="P176" s="15"/>
      <c r="Q176" s="11"/>
      <c r="R176" s="11"/>
      <c r="S176" s="11"/>
      <c r="T176" s="11"/>
      <c r="U176" s="15"/>
      <c r="V176" s="11"/>
      <c r="W176" s="11"/>
      <c r="X176" s="11"/>
      <c r="Y176" s="11"/>
      <c r="Z176" s="11"/>
    </row>
    <row r="177">
      <c r="A177" s="18"/>
      <c r="B177" s="11"/>
      <c r="C177" s="11"/>
      <c r="D177" s="11"/>
      <c r="E177" s="11"/>
      <c r="F177" s="11"/>
      <c r="G177" s="11"/>
      <c r="H177" s="11"/>
      <c r="I177" s="11"/>
      <c r="J177" s="11"/>
      <c r="K177" s="11"/>
      <c r="L177" s="15"/>
      <c r="M177" s="15"/>
      <c r="N177" s="15"/>
      <c r="O177" s="15"/>
      <c r="P177" s="15"/>
      <c r="Q177" s="11"/>
      <c r="R177" s="11"/>
      <c r="S177" s="11"/>
      <c r="T177" s="11"/>
      <c r="U177" s="15"/>
      <c r="V177" s="11"/>
      <c r="W177" s="11"/>
      <c r="X177" s="11"/>
      <c r="Y177" s="11"/>
      <c r="Z177" s="11"/>
    </row>
    <row r="178">
      <c r="A178" s="18"/>
      <c r="B178" s="11"/>
      <c r="C178" s="11"/>
      <c r="D178" s="11"/>
      <c r="E178" s="11"/>
      <c r="F178" s="11"/>
      <c r="G178" s="11"/>
      <c r="H178" s="11"/>
      <c r="I178" s="11"/>
      <c r="J178" s="11"/>
      <c r="K178" s="11"/>
      <c r="L178" s="15"/>
      <c r="M178" s="15"/>
      <c r="N178" s="15"/>
      <c r="O178" s="15"/>
      <c r="P178" s="15"/>
      <c r="Q178" s="11"/>
      <c r="R178" s="11"/>
      <c r="S178" s="11"/>
      <c r="T178" s="11"/>
      <c r="U178" s="15"/>
      <c r="V178" s="11"/>
      <c r="W178" s="11"/>
      <c r="X178" s="11"/>
      <c r="Y178" s="11"/>
      <c r="Z178" s="11"/>
    </row>
    <row r="179">
      <c r="A179" s="18"/>
      <c r="B179" s="11"/>
      <c r="C179" s="11"/>
      <c r="D179" s="11"/>
      <c r="E179" s="11"/>
      <c r="F179" s="11"/>
      <c r="G179" s="11"/>
      <c r="H179" s="11"/>
      <c r="I179" s="11"/>
      <c r="J179" s="11"/>
      <c r="K179" s="11"/>
      <c r="L179" s="15"/>
      <c r="M179" s="15"/>
      <c r="N179" s="15"/>
      <c r="O179" s="15"/>
      <c r="P179" s="15"/>
      <c r="Q179" s="11"/>
      <c r="R179" s="11"/>
      <c r="S179" s="11"/>
      <c r="T179" s="11"/>
      <c r="U179" s="15"/>
      <c r="V179" s="11"/>
      <c r="W179" s="11"/>
      <c r="X179" s="11"/>
      <c r="Y179" s="11"/>
      <c r="Z179" s="11"/>
    </row>
    <row r="180">
      <c r="A180" s="18"/>
      <c r="B180" s="11"/>
      <c r="C180" s="11"/>
      <c r="D180" s="11"/>
      <c r="E180" s="11"/>
      <c r="F180" s="11"/>
      <c r="G180" s="11"/>
      <c r="H180" s="11"/>
      <c r="I180" s="11"/>
      <c r="J180" s="11"/>
      <c r="K180" s="11"/>
      <c r="L180" s="15"/>
      <c r="M180" s="15"/>
      <c r="N180" s="15"/>
      <c r="O180" s="15"/>
      <c r="P180" s="15"/>
      <c r="Q180" s="11"/>
      <c r="R180" s="11"/>
      <c r="S180" s="11"/>
      <c r="T180" s="11"/>
      <c r="U180" s="15"/>
      <c r="V180" s="11"/>
      <c r="W180" s="11"/>
      <c r="X180" s="11"/>
      <c r="Y180" s="11"/>
      <c r="Z180" s="11"/>
    </row>
    <row r="181">
      <c r="A181" s="18"/>
      <c r="B181" s="11"/>
      <c r="C181" s="11"/>
      <c r="D181" s="11"/>
      <c r="E181" s="11"/>
      <c r="F181" s="11"/>
      <c r="G181" s="11"/>
      <c r="H181" s="11"/>
      <c r="I181" s="11"/>
      <c r="J181" s="11"/>
      <c r="K181" s="11"/>
      <c r="L181" s="15"/>
      <c r="M181" s="15"/>
      <c r="N181" s="15"/>
      <c r="O181" s="15"/>
      <c r="P181" s="15"/>
      <c r="Q181" s="11"/>
      <c r="R181" s="11"/>
      <c r="S181" s="11"/>
      <c r="T181" s="11"/>
      <c r="U181" s="15"/>
      <c r="V181" s="11"/>
      <c r="W181" s="11"/>
      <c r="X181" s="11"/>
      <c r="Y181" s="11"/>
      <c r="Z181" s="11"/>
    </row>
    <row r="182">
      <c r="A182" s="18"/>
      <c r="B182" s="11"/>
      <c r="C182" s="11"/>
      <c r="D182" s="11"/>
      <c r="E182" s="11"/>
      <c r="F182" s="11"/>
      <c r="G182" s="11"/>
      <c r="H182" s="11"/>
      <c r="I182" s="11"/>
      <c r="J182" s="11"/>
      <c r="K182" s="11"/>
      <c r="L182" s="15"/>
      <c r="M182" s="15"/>
      <c r="N182" s="15"/>
      <c r="O182" s="15"/>
      <c r="P182" s="15"/>
      <c r="Q182" s="11"/>
      <c r="R182" s="11"/>
      <c r="S182" s="11"/>
      <c r="T182" s="11"/>
      <c r="U182" s="15"/>
      <c r="V182" s="11"/>
      <c r="W182" s="11"/>
      <c r="X182" s="11"/>
      <c r="Y182" s="11"/>
      <c r="Z182" s="11"/>
    </row>
    <row r="183">
      <c r="A183" s="18"/>
      <c r="B183" s="11"/>
      <c r="C183" s="11"/>
      <c r="D183" s="11"/>
      <c r="E183" s="11"/>
      <c r="F183" s="11"/>
      <c r="G183" s="11"/>
      <c r="H183" s="11"/>
      <c r="I183" s="11"/>
      <c r="J183" s="11"/>
      <c r="K183" s="11"/>
      <c r="L183" s="15"/>
      <c r="M183" s="15"/>
      <c r="N183" s="15"/>
      <c r="O183" s="15"/>
      <c r="P183" s="15"/>
      <c r="Q183" s="11"/>
      <c r="R183" s="11"/>
      <c r="S183" s="11"/>
      <c r="T183" s="11"/>
      <c r="U183" s="15"/>
      <c r="V183" s="11"/>
      <c r="W183" s="11"/>
      <c r="X183" s="11"/>
      <c r="Y183" s="11"/>
      <c r="Z183" s="11"/>
    </row>
    <row r="184">
      <c r="A184" s="18"/>
      <c r="B184" s="11"/>
      <c r="C184" s="11"/>
      <c r="D184" s="11"/>
      <c r="E184" s="11"/>
      <c r="F184" s="11"/>
      <c r="G184" s="11"/>
      <c r="H184" s="11"/>
      <c r="I184" s="11"/>
      <c r="J184" s="11"/>
      <c r="K184" s="11"/>
      <c r="L184" s="15"/>
      <c r="M184" s="15"/>
      <c r="N184" s="15"/>
      <c r="O184" s="15"/>
      <c r="P184" s="15"/>
      <c r="Q184" s="11"/>
      <c r="R184" s="11"/>
      <c r="S184" s="11"/>
      <c r="T184" s="11"/>
      <c r="U184" s="15"/>
      <c r="V184" s="11"/>
      <c r="W184" s="11"/>
      <c r="X184" s="11"/>
      <c r="Y184" s="11"/>
      <c r="Z184" s="11"/>
    </row>
    <row r="185">
      <c r="A185" s="18"/>
      <c r="B185" s="11"/>
      <c r="C185" s="11"/>
      <c r="D185" s="11"/>
      <c r="E185" s="11"/>
      <c r="F185" s="11"/>
      <c r="G185" s="11"/>
      <c r="H185" s="11"/>
      <c r="I185" s="11"/>
      <c r="J185" s="11"/>
      <c r="K185" s="11"/>
      <c r="L185" s="15"/>
      <c r="M185" s="15"/>
      <c r="N185" s="15"/>
      <c r="O185" s="15"/>
      <c r="P185" s="15"/>
      <c r="Q185" s="11"/>
      <c r="R185" s="11"/>
      <c r="S185" s="11"/>
      <c r="T185" s="11"/>
      <c r="U185" s="15"/>
      <c r="V185" s="11"/>
      <c r="W185" s="11"/>
      <c r="X185" s="11"/>
      <c r="Y185" s="11"/>
      <c r="Z185" s="11"/>
    </row>
    <row r="186">
      <c r="A186" s="18"/>
      <c r="B186" s="11"/>
      <c r="C186" s="11"/>
      <c r="D186" s="11"/>
      <c r="E186" s="11"/>
      <c r="F186" s="11"/>
      <c r="G186" s="11"/>
      <c r="H186" s="11"/>
      <c r="I186" s="11"/>
      <c r="J186" s="11"/>
      <c r="K186" s="11"/>
      <c r="L186" s="15"/>
      <c r="M186" s="15"/>
      <c r="N186" s="15"/>
      <c r="O186" s="15"/>
      <c r="P186" s="15"/>
      <c r="Q186" s="11"/>
      <c r="R186" s="11"/>
      <c r="S186" s="11"/>
      <c r="T186" s="11"/>
      <c r="U186" s="15"/>
      <c r="V186" s="11"/>
      <c r="W186" s="11"/>
      <c r="X186" s="11"/>
      <c r="Y186" s="11"/>
      <c r="Z186" s="11"/>
    </row>
    <row r="187">
      <c r="A187" s="18"/>
      <c r="B187" s="11"/>
      <c r="C187" s="11"/>
      <c r="D187" s="11"/>
      <c r="E187" s="11"/>
      <c r="F187" s="11"/>
      <c r="G187" s="11"/>
      <c r="H187" s="11"/>
      <c r="I187" s="11"/>
      <c r="J187" s="11"/>
      <c r="K187" s="11"/>
      <c r="L187" s="15"/>
      <c r="M187" s="15"/>
      <c r="N187" s="15"/>
      <c r="O187" s="15"/>
      <c r="P187" s="15"/>
      <c r="Q187" s="11"/>
      <c r="R187" s="11"/>
      <c r="S187" s="11"/>
      <c r="T187" s="11"/>
      <c r="U187" s="15"/>
      <c r="V187" s="11"/>
      <c r="W187" s="11"/>
      <c r="X187" s="11"/>
      <c r="Y187" s="11"/>
      <c r="Z187" s="11"/>
    </row>
    <row r="188">
      <c r="A188" s="18"/>
      <c r="B188" s="11"/>
      <c r="C188" s="11"/>
      <c r="D188" s="11"/>
      <c r="E188" s="11"/>
      <c r="F188" s="11"/>
      <c r="G188" s="11"/>
      <c r="H188" s="11"/>
      <c r="I188" s="11"/>
      <c r="J188" s="11"/>
      <c r="K188" s="11"/>
      <c r="L188" s="15"/>
      <c r="M188" s="15"/>
      <c r="N188" s="15"/>
      <c r="O188" s="15"/>
      <c r="P188" s="15"/>
      <c r="Q188" s="11"/>
      <c r="R188" s="11"/>
      <c r="S188" s="11"/>
      <c r="T188" s="11"/>
      <c r="U188" s="15"/>
      <c r="V188" s="11"/>
      <c r="W188" s="11"/>
      <c r="X188" s="11"/>
      <c r="Y188" s="11"/>
      <c r="Z188" s="11"/>
    </row>
    <row r="189">
      <c r="A189" s="18"/>
      <c r="B189" s="11"/>
      <c r="C189" s="11"/>
      <c r="D189" s="11"/>
      <c r="E189" s="11"/>
      <c r="F189" s="11"/>
      <c r="G189" s="11"/>
      <c r="H189" s="11"/>
      <c r="I189" s="11"/>
      <c r="J189" s="11"/>
      <c r="K189" s="11"/>
      <c r="L189" s="15"/>
      <c r="M189" s="15"/>
      <c r="N189" s="15"/>
      <c r="O189" s="15"/>
      <c r="P189" s="15"/>
      <c r="Q189" s="11"/>
      <c r="R189" s="11"/>
      <c r="S189" s="11"/>
      <c r="T189" s="11"/>
      <c r="U189" s="15"/>
      <c r="V189" s="11"/>
      <c r="W189" s="11"/>
      <c r="X189" s="11"/>
      <c r="Y189" s="11"/>
      <c r="Z189" s="11"/>
    </row>
    <row r="190">
      <c r="A190" s="18"/>
      <c r="B190" s="11"/>
      <c r="C190" s="11"/>
      <c r="D190" s="11"/>
      <c r="E190" s="11"/>
      <c r="F190" s="11"/>
      <c r="G190" s="11"/>
      <c r="H190" s="11"/>
      <c r="I190" s="11"/>
      <c r="J190" s="11"/>
      <c r="K190" s="11"/>
      <c r="L190" s="15"/>
      <c r="M190" s="15"/>
      <c r="N190" s="15"/>
      <c r="O190" s="15"/>
      <c r="P190" s="15"/>
      <c r="Q190" s="11"/>
      <c r="R190" s="11"/>
      <c r="S190" s="11"/>
      <c r="T190" s="11"/>
      <c r="U190" s="15"/>
      <c r="V190" s="11"/>
      <c r="W190" s="11"/>
      <c r="X190" s="11"/>
      <c r="Y190" s="11"/>
      <c r="Z190" s="11"/>
    </row>
    <row r="191">
      <c r="A191" s="18"/>
      <c r="B191" s="11"/>
      <c r="C191" s="11"/>
      <c r="D191" s="11"/>
      <c r="E191" s="11"/>
      <c r="F191" s="11"/>
      <c r="G191" s="11"/>
      <c r="H191" s="11"/>
      <c r="I191" s="11"/>
      <c r="J191" s="11"/>
      <c r="K191" s="11"/>
      <c r="L191" s="15"/>
      <c r="M191" s="15"/>
      <c r="N191" s="15"/>
      <c r="O191" s="15"/>
      <c r="P191" s="15"/>
      <c r="Q191" s="11"/>
      <c r="R191" s="11"/>
      <c r="S191" s="11"/>
      <c r="T191" s="11"/>
      <c r="U191" s="15"/>
      <c r="V191" s="11"/>
      <c r="W191" s="11"/>
      <c r="X191" s="11"/>
      <c r="Y191" s="11"/>
      <c r="Z191" s="11"/>
    </row>
    <row r="192">
      <c r="A192" s="18"/>
      <c r="B192" s="11"/>
      <c r="C192" s="11"/>
      <c r="D192" s="11"/>
      <c r="E192" s="11"/>
      <c r="F192" s="11"/>
      <c r="G192" s="11"/>
      <c r="H192" s="11"/>
      <c r="I192" s="11"/>
      <c r="J192" s="11"/>
      <c r="K192" s="11"/>
      <c r="L192" s="15"/>
      <c r="M192" s="15"/>
      <c r="N192" s="15"/>
      <c r="O192" s="15"/>
      <c r="P192" s="15"/>
      <c r="Q192" s="11"/>
      <c r="R192" s="11"/>
      <c r="S192" s="11"/>
      <c r="T192" s="11"/>
      <c r="U192" s="15"/>
      <c r="V192" s="11"/>
      <c r="W192" s="11"/>
      <c r="X192" s="11"/>
      <c r="Y192" s="11"/>
      <c r="Z192" s="11"/>
    </row>
    <row r="193">
      <c r="A193" s="18"/>
      <c r="B193" s="11"/>
      <c r="C193" s="11"/>
      <c r="D193" s="11"/>
      <c r="E193" s="11"/>
      <c r="F193" s="11"/>
      <c r="G193" s="11"/>
      <c r="H193" s="11"/>
      <c r="I193" s="11"/>
      <c r="J193" s="11"/>
      <c r="K193" s="11"/>
      <c r="L193" s="15"/>
      <c r="M193" s="15"/>
      <c r="N193" s="15"/>
      <c r="O193" s="15"/>
      <c r="P193" s="15"/>
      <c r="Q193" s="11"/>
      <c r="R193" s="11"/>
      <c r="S193" s="11"/>
      <c r="T193" s="11"/>
      <c r="U193" s="15"/>
      <c r="V193" s="11"/>
      <c r="W193" s="11"/>
      <c r="X193" s="11"/>
      <c r="Y193" s="11"/>
      <c r="Z193" s="11"/>
    </row>
    <row r="194">
      <c r="A194" s="18"/>
      <c r="B194" s="11"/>
      <c r="C194" s="11"/>
      <c r="D194" s="11"/>
      <c r="E194" s="11"/>
      <c r="F194" s="11"/>
      <c r="G194" s="11"/>
      <c r="H194" s="11"/>
      <c r="I194" s="11"/>
      <c r="J194" s="11"/>
      <c r="K194" s="11"/>
      <c r="L194" s="15"/>
      <c r="M194" s="15"/>
      <c r="N194" s="15"/>
      <c r="O194" s="15"/>
      <c r="P194" s="15"/>
      <c r="Q194" s="11"/>
      <c r="R194" s="11"/>
      <c r="S194" s="11"/>
      <c r="T194" s="11"/>
      <c r="U194" s="15"/>
      <c r="V194" s="11"/>
      <c r="W194" s="11"/>
      <c r="X194" s="11"/>
      <c r="Y194" s="11"/>
      <c r="Z194" s="11"/>
    </row>
    <row r="195">
      <c r="A195" s="18"/>
      <c r="B195" s="11"/>
      <c r="C195" s="11"/>
      <c r="D195" s="11"/>
      <c r="E195" s="11"/>
      <c r="F195" s="11"/>
      <c r="G195" s="11"/>
      <c r="H195" s="11"/>
      <c r="I195" s="11"/>
      <c r="J195" s="11"/>
      <c r="K195" s="11"/>
      <c r="L195" s="15"/>
      <c r="M195" s="15"/>
      <c r="N195" s="15"/>
      <c r="O195" s="15"/>
      <c r="P195" s="15"/>
      <c r="Q195" s="11"/>
      <c r="R195" s="11"/>
      <c r="S195" s="11"/>
      <c r="T195" s="11"/>
      <c r="U195" s="15"/>
      <c r="V195" s="11"/>
      <c r="W195" s="11"/>
      <c r="X195" s="11"/>
      <c r="Y195" s="11"/>
      <c r="Z195" s="11"/>
    </row>
    <row r="196">
      <c r="A196" s="18"/>
      <c r="B196" s="11"/>
      <c r="C196" s="11"/>
      <c r="D196" s="11"/>
      <c r="E196" s="11"/>
      <c r="F196" s="11"/>
      <c r="G196" s="11"/>
      <c r="H196" s="11"/>
      <c r="I196" s="11"/>
      <c r="J196" s="11"/>
      <c r="K196" s="11"/>
      <c r="L196" s="15"/>
      <c r="M196" s="15"/>
      <c r="N196" s="15"/>
      <c r="O196" s="15"/>
      <c r="P196" s="15"/>
      <c r="Q196" s="11"/>
      <c r="R196" s="11"/>
      <c r="S196" s="11"/>
      <c r="T196" s="11"/>
      <c r="U196" s="15"/>
      <c r="V196" s="11"/>
      <c r="W196" s="11"/>
      <c r="X196" s="11"/>
      <c r="Y196" s="11"/>
      <c r="Z196" s="11"/>
    </row>
    <row r="197">
      <c r="A197" s="18"/>
      <c r="B197" s="11"/>
      <c r="C197" s="11"/>
      <c r="D197" s="11"/>
      <c r="E197" s="11"/>
      <c r="F197" s="11"/>
      <c r="G197" s="11"/>
      <c r="H197" s="11"/>
      <c r="I197" s="11"/>
      <c r="J197" s="11"/>
      <c r="K197" s="11"/>
      <c r="L197" s="15"/>
      <c r="M197" s="15"/>
      <c r="N197" s="15"/>
      <c r="O197" s="15"/>
      <c r="P197" s="15"/>
      <c r="Q197" s="11"/>
      <c r="R197" s="11"/>
      <c r="S197" s="11"/>
      <c r="T197" s="11"/>
      <c r="U197" s="15"/>
      <c r="V197" s="11"/>
      <c r="W197" s="11"/>
      <c r="X197" s="11"/>
      <c r="Y197" s="11"/>
      <c r="Z197" s="11"/>
    </row>
    <row r="198">
      <c r="A198" s="18"/>
      <c r="B198" s="11"/>
      <c r="C198" s="11"/>
      <c r="D198" s="11"/>
      <c r="E198" s="11"/>
      <c r="F198" s="11"/>
      <c r="G198" s="11"/>
      <c r="H198" s="11"/>
      <c r="I198" s="11"/>
      <c r="J198" s="11"/>
      <c r="K198" s="11"/>
      <c r="L198" s="15"/>
      <c r="M198" s="15"/>
      <c r="N198" s="15"/>
      <c r="O198" s="15"/>
      <c r="P198" s="15"/>
      <c r="Q198" s="11"/>
      <c r="R198" s="11"/>
      <c r="S198" s="11"/>
      <c r="T198" s="11"/>
      <c r="U198" s="15"/>
      <c r="V198" s="11"/>
      <c r="W198" s="11"/>
      <c r="X198" s="11"/>
      <c r="Y198" s="11"/>
      <c r="Z198" s="11"/>
    </row>
    <row r="199">
      <c r="A199" s="18"/>
      <c r="B199" s="11"/>
      <c r="C199" s="11"/>
      <c r="D199" s="11"/>
      <c r="E199" s="11"/>
      <c r="F199" s="11"/>
      <c r="G199" s="11"/>
      <c r="H199" s="11"/>
      <c r="I199" s="11"/>
      <c r="J199" s="11"/>
      <c r="K199" s="11"/>
      <c r="L199" s="15"/>
      <c r="M199" s="15"/>
      <c r="N199" s="15"/>
      <c r="O199" s="15"/>
      <c r="P199" s="15"/>
      <c r="Q199" s="11"/>
      <c r="R199" s="11"/>
      <c r="S199" s="11"/>
      <c r="T199" s="11"/>
      <c r="U199" s="15"/>
      <c r="V199" s="11"/>
      <c r="W199" s="11"/>
      <c r="X199" s="11"/>
      <c r="Y199" s="11"/>
      <c r="Z199" s="11"/>
    </row>
    <row r="200">
      <c r="A200" s="18"/>
      <c r="B200" s="11"/>
      <c r="C200" s="11"/>
      <c r="D200" s="11"/>
      <c r="E200" s="11"/>
      <c r="F200" s="11"/>
      <c r="G200" s="11"/>
      <c r="H200" s="11"/>
      <c r="I200" s="11"/>
      <c r="J200" s="11"/>
      <c r="K200" s="11"/>
      <c r="L200" s="15"/>
      <c r="M200" s="15"/>
      <c r="N200" s="15"/>
      <c r="O200" s="15"/>
      <c r="P200" s="15"/>
      <c r="Q200" s="11"/>
      <c r="R200" s="11"/>
      <c r="S200" s="11"/>
      <c r="T200" s="11"/>
      <c r="U200" s="15"/>
      <c r="V200" s="11"/>
      <c r="W200" s="11"/>
      <c r="X200" s="11"/>
      <c r="Y200" s="11"/>
      <c r="Z200" s="11"/>
    </row>
    <row r="201">
      <c r="A201" s="18"/>
      <c r="B201" s="11"/>
      <c r="C201" s="11"/>
      <c r="D201" s="11"/>
      <c r="E201" s="11"/>
      <c r="F201" s="11"/>
      <c r="G201" s="11"/>
      <c r="H201" s="11"/>
      <c r="I201" s="11"/>
      <c r="J201" s="11"/>
      <c r="K201" s="11"/>
      <c r="L201" s="15"/>
      <c r="M201" s="15"/>
      <c r="N201" s="15"/>
      <c r="O201" s="15"/>
      <c r="P201" s="15"/>
      <c r="Q201" s="11"/>
      <c r="R201" s="11"/>
      <c r="S201" s="11"/>
      <c r="T201" s="11"/>
      <c r="U201" s="15"/>
      <c r="V201" s="11"/>
      <c r="W201" s="11"/>
      <c r="X201" s="11"/>
      <c r="Y201" s="11"/>
      <c r="Z201" s="11"/>
    </row>
    <row r="202">
      <c r="A202" s="18"/>
      <c r="B202" s="11"/>
      <c r="C202" s="11"/>
      <c r="D202" s="11"/>
      <c r="E202" s="11"/>
      <c r="F202" s="11"/>
      <c r="G202" s="11"/>
      <c r="H202" s="11"/>
      <c r="I202" s="11"/>
      <c r="J202" s="11"/>
      <c r="K202" s="11"/>
      <c r="L202" s="15"/>
      <c r="M202" s="15"/>
      <c r="N202" s="15"/>
      <c r="O202" s="15"/>
      <c r="P202" s="15"/>
      <c r="Q202" s="11"/>
      <c r="R202" s="11"/>
      <c r="S202" s="11"/>
      <c r="T202" s="11"/>
      <c r="U202" s="15"/>
      <c r="V202" s="11"/>
      <c r="W202" s="11"/>
      <c r="X202" s="11"/>
      <c r="Y202" s="11"/>
      <c r="Z202" s="11"/>
    </row>
    <row r="203">
      <c r="A203" s="18"/>
      <c r="B203" s="11"/>
      <c r="C203" s="11"/>
      <c r="D203" s="11"/>
      <c r="E203" s="11"/>
      <c r="F203" s="11"/>
      <c r="G203" s="11"/>
      <c r="H203" s="11"/>
      <c r="I203" s="11"/>
      <c r="J203" s="11"/>
      <c r="K203" s="11"/>
      <c r="L203" s="15"/>
      <c r="M203" s="15"/>
      <c r="N203" s="15"/>
      <c r="O203" s="15"/>
      <c r="P203" s="15"/>
      <c r="Q203" s="11"/>
      <c r="R203" s="11"/>
      <c r="S203" s="11"/>
      <c r="T203" s="11"/>
      <c r="U203" s="15"/>
      <c r="V203" s="11"/>
      <c r="W203" s="11"/>
      <c r="X203" s="11"/>
      <c r="Y203" s="11"/>
      <c r="Z203" s="11"/>
    </row>
    <row r="204">
      <c r="A204" s="18"/>
      <c r="B204" s="11"/>
      <c r="C204" s="11"/>
      <c r="D204" s="11"/>
      <c r="E204" s="11"/>
      <c r="F204" s="11"/>
      <c r="G204" s="11"/>
      <c r="H204" s="11"/>
      <c r="I204" s="11"/>
      <c r="J204" s="11"/>
      <c r="K204" s="11"/>
      <c r="L204" s="15"/>
      <c r="M204" s="15"/>
      <c r="N204" s="15"/>
      <c r="O204" s="15"/>
      <c r="P204" s="15"/>
      <c r="Q204" s="11"/>
      <c r="R204" s="11"/>
      <c r="S204" s="11"/>
      <c r="T204" s="11"/>
      <c r="U204" s="15"/>
      <c r="V204" s="11"/>
      <c r="W204" s="11"/>
      <c r="X204" s="11"/>
      <c r="Y204" s="11"/>
      <c r="Z204" s="11"/>
    </row>
    <row r="205">
      <c r="A205" s="18"/>
      <c r="B205" s="11"/>
      <c r="C205" s="11"/>
      <c r="D205" s="11"/>
      <c r="E205" s="11"/>
      <c r="F205" s="11"/>
      <c r="G205" s="11"/>
      <c r="H205" s="11"/>
      <c r="I205" s="11"/>
      <c r="J205" s="11"/>
      <c r="K205" s="11"/>
      <c r="L205" s="15"/>
      <c r="M205" s="15"/>
      <c r="N205" s="15"/>
      <c r="O205" s="15"/>
      <c r="P205" s="15"/>
      <c r="Q205" s="11"/>
      <c r="R205" s="11"/>
      <c r="S205" s="11"/>
      <c r="T205" s="11"/>
      <c r="U205" s="15"/>
      <c r="V205" s="11"/>
      <c r="W205" s="11"/>
      <c r="X205" s="11"/>
      <c r="Y205" s="11"/>
      <c r="Z205" s="11"/>
    </row>
    <row r="206">
      <c r="A206" s="18"/>
      <c r="B206" s="11"/>
      <c r="C206" s="11"/>
      <c r="D206" s="11"/>
      <c r="E206" s="11"/>
      <c r="F206" s="11"/>
      <c r="G206" s="11"/>
      <c r="H206" s="11"/>
      <c r="I206" s="11"/>
      <c r="J206" s="11"/>
      <c r="K206" s="11"/>
      <c r="L206" s="15"/>
      <c r="M206" s="15"/>
      <c r="N206" s="15"/>
      <c r="O206" s="15"/>
      <c r="P206" s="15"/>
      <c r="Q206" s="11"/>
      <c r="R206" s="11"/>
      <c r="S206" s="11"/>
      <c r="T206" s="11"/>
      <c r="U206" s="15"/>
      <c r="V206" s="11"/>
      <c r="W206" s="11"/>
      <c r="X206" s="11"/>
      <c r="Y206" s="11"/>
      <c r="Z206" s="11"/>
    </row>
    <row r="207">
      <c r="A207" s="18"/>
      <c r="B207" s="11"/>
      <c r="C207" s="11"/>
      <c r="D207" s="11"/>
      <c r="E207" s="11"/>
      <c r="F207" s="11"/>
      <c r="G207" s="11"/>
      <c r="H207" s="11"/>
      <c r="I207" s="11"/>
      <c r="J207" s="11"/>
      <c r="K207" s="11"/>
      <c r="L207" s="15"/>
      <c r="M207" s="15"/>
      <c r="N207" s="15"/>
      <c r="O207" s="15"/>
      <c r="P207" s="15"/>
      <c r="Q207" s="11"/>
      <c r="R207" s="11"/>
      <c r="S207" s="11"/>
      <c r="T207" s="11"/>
      <c r="U207" s="15"/>
      <c r="V207" s="11"/>
      <c r="W207" s="11"/>
      <c r="X207" s="11"/>
      <c r="Y207" s="11"/>
      <c r="Z207" s="11"/>
    </row>
    <row r="208">
      <c r="A208" s="18"/>
      <c r="B208" s="11"/>
      <c r="C208" s="11"/>
      <c r="D208" s="11"/>
      <c r="E208" s="11"/>
      <c r="F208" s="11"/>
      <c r="G208" s="11"/>
      <c r="H208" s="11"/>
      <c r="I208" s="11"/>
      <c r="J208" s="11"/>
      <c r="K208" s="11"/>
      <c r="L208" s="15"/>
      <c r="M208" s="15"/>
      <c r="N208" s="15"/>
      <c r="O208" s="15"/>
      <c r="P208" s="15"/>
      <c r="Q208" s="11"/>
      <c r="R208" s="11"/>
      <c r="S208" s="11"/>
      <c r="T208" s="11"/>
      <c r="U208" s="15"/>
      <c r="V208" s="11"/>
      <c r="W208" s="11"/>
      <c r="X208" s="11"/>
      <c r="Y208" s="11"/>
      <c r="Z208" s="11"/>
    </row>
    <row r="209">
      <c r="A209" s="18"/>
      <c r="B209" s="11"/>
      <c r="C209" s="11"/>
      <c r="D209" s="11"/>
      <c r="E209" s="11"/>
      <c r="F209" s="11"/>
      <c r="G209" s="11"/>
      <c r="H209" s="11"/>
      <c r="I209" s="11"/>
      <c r="J209" s="11"/>
      <c r="K209" s="11"/>
      <c r="L209" s="15"/>
      <c r="M209" s="15"/>
      <c r="N209" s="15"/>
      <c r="O209" s="15"/>
      <c r="P209" s="15"/>
      <c r="Q209" s="11"/>
      <c r="R209" s="11"/>
      <c r="S209" s="11"/>
      <c r="T209" s="11"/>
      <c r="U209" s="15"/>
      <c r="V209" s="11"/>
      <c r="W209" s="11"/>
      <c r="X209" s="11"/>
      <c r="Y209" s="11"/>
      <c r="Z209" s="11"/>
    </row>
    <row r="210">
      <c r="A210" s="18"/>
      <c r="B210" s="11"/>
      <c r="C210" s="11"/>
      <c r="D210" s="11"/>
      <c r="E210" s="11"/>
      <c r="F210" s="11"/>
      <c r="G210" s="11"/>
      <c r="H210" s="11"/>
      <c r="I210" s="11"/>
      <c r="J210" s="11"/>
      <c r="K210" s="11"/>
      <c r="L210" s="15"/>
      <c r="M210" s="15"/>
      <c r="N210" s="15"/>
      <c r="O210" s="15"/>
      <c r="P210" s="15"/>
      <c r="Q210" s="11"/>
      <c r="R210" s="11"/>
      <c r="S210" s="11"/>
      <c r="T210" s="11"/>
      <c r="U210" s="15"/>
      <c r="V210" s="11"/>
      <c r="W210" s="11"/>
      <c r="X210" s="11"/>
      <c r="Y210" s="11"/>
      <c r="Z210" s="11"/>
    </row>
    <row r="211">
      <c r="A211" s="18"/>
      <c r="B211" s="11"/>
      <c r="C211" s="11"/>
      <c r="D211" s="11"/>
      <c r="E211" s="11"/>
      <c r="F211" s="11"/>
      <c r="G211" s="11"/>
      <c r="H211" s="11"/>
      <c r="I211" s="11"/>
      <c r="J211" s="11"/>
      <c r="K211" s="11"/>
      <c r="L211" s="15"/>
      <c r="M211" s="15"/>
      <c r="N211" s="15"/>
      <c r="O211" s="15"/>
      <c r="P211" s="15"/>
      <c r="Q211" s="11"/>
      <c r="R211" s="11"/>
      <c r="S211" s="11"/>
      <c r="T211" s="11"/>
      <c r="U211" s="15"/>
      <c r="V211" s="11"/>
      <c r="W211" s="11"/>
      <c r="X211" s="11"/>
      <c r="Y211" s="11"/>
      <c r="Z211" s="11"/>
    </row>
    <row r="212">
      <c r="A212" s="18"/>
      <c r="B212" s="11"/>
      <c r="C212" s="11"/>
      <c r="D212" s="11"/>
      <c r="E212" s="11"/>
      <c r="F212" s="11"/>
      <c r="G212" s="11"/>
      <c r="H212" s="11"/>
      <c r="I212" s="11"/>
      <c r="J212" s="11"/>
      <c r="K212" s="11"/>
      <c r="L212" s="15"/>
      <c r="M212" s="15"/>
      <c r="N212" s="15"/>
      <c r="O212" s="15"/>
      <c r="P212" s="15"/>
      <c r="Q212" s="11"/>
      <c r="R212" s="11"/>
      <c r="S212" s="11"/>
      <c r="T212" s="11"/>
      <c r="U212" s="15"/>
      <c r="V212" s="11"/>
      <c r="W212" s="11"/>
      <c r="X212" s="11"/>
      <c r="Y212" s="11"/>
      <c r="Z212" s="11"/>
    </row>
    <row r="213">
      <c r="A213" s="18"/>
      <c r="B213" s="11"/>
      <c r="C213" s="11"/>
      <c r="D213" s="11"/>
      <c r="E213" s="11"/>
      <c r="F213" s="11"/>
      <c r="G213" s="11"/>
      <c r="H213" s="11"/>
      <c r="I213" s="11"/>
      <c r="J213" s="11"/>
      <c r="K213" s="11"/>
      <c r="L213" s="15"/>
      <c r="M213" s="15"/>
      <c r="N213" s="15"/>
      <c r="O213" s="15"/>
      <c r="P213" s="15"/>
      <c r="Q213" s="11"/>
      <c r="R213" s="11"/>
      <c r="S213" s="11"/>
      <c r="T213" s="11"/>
      <c r="U213" s="15"/>
      <c r="V213" s="11"/>
      <c r="W213" s="11"/>
      <c r="X213" s="11"/>
      <c r="Y213" s="11"/>
      <c r="Z213" s="11"/>
    </row>
    <row r="214">
      <c r="A214" s="18"/>
      <c r="B214" s="11"/>
      <c r="C214" s="11"/>
      <c r="D214" s="11"/>
      <c r="E214" s="11"/>
      <c r="F214" s="11"/>
      <c r="G214" s="11"/>
      <c r="H214" s="11"/>
      <c r="I214" s="11"/>
      <c r="J214" s="11"/>
      <c r="K214" s="11"/>
      <c r="L214" s="15"/>
      <c r="M214" s="15"/>
      <c r="N214" s="15"/>
      <c r="O214" s="15"/>
      <c r="P214" s="15"/>
      <c r="Q214" s="11"/>
      <c r="R214" s="11"/>
      <c r="S214" s="11"/>
      <c r="T214" s="11"/>
      <c r="U214" s="15"/>
      <c r="V214" s="11"/>
      <c r="W214" s="11"/>
      <c r="X214" s="11"/>
      <c r="Y214" s="11"/>
      <c r="Z214" s="11"/>
    </row>
    <row r="215">
      <c r="A215" s="18"/>
      <c r="B215" s="11"/>
      <c r="C215" s="11"/>
      <c r="D215" s="11"/>
      <c r="E215" s="11"/>
      <c r="F215" s="11"/>
      <c r="G215" s="11"/>
      <c r="H215" s="11"/>
      <c r="I215" s="11"/>
      <c r="J215" s="11"/>
      <c r="K215" s="11"/>
      <c r="L215" s="15"/>
      <c r="M215" s="15"/>
      <c r="N215" s="15"/>
      <c r="O215" s="15"/>
      <c r="P215" s="15"/>
      <c r="Q215" s="11"/>
      <c r="R215" s="11"/>
      <c r="S215" s="11"/>
      <c r="T215" s="11"/>
      <c r="U215" s="15"/>
      <c r="V215" s="11"/>
      <c r="W215" s="11"/>
      <c r="X215" s="11"/>
      <c r="Y215" s="11"/>
      <c r="Z215" s="11"/>
    </row>
    <row r="216">
      <c r="A216" s="18"/>
      <c r="B216" s="11"/>
      <c r="C216" s="11"/>
      <c r="D216" s="11"/>
      <c r="E216" s="11"/>
      <c r="F216" s="11"/>
      <c r="G216" s="11"/>
      <c r="H216" s="11"/>
      <c r="I216" s="11"/>
      <c r="J216" s="11"/>
      <c r="K216" s="11"/>
      <c r="L216" s="15"/>
      <c r="M216" s="15"/>
      <c r="N216" s="15"/>
      <c r="O216" s="15"/>
      <c r="P216" s="15"/>
      <c r="Q216" s="11"/>
      <c r="R216" s="11"/>
      <c r="S216" s="11"/>
      <c r="T216" s="11"/>
      <c r="U216" s="15"/>
      <c r="V216" s="11"/>
      <c r="W216" s="11"/>
      <c r="X216" s="11"/>
      <c r="Y216" s="11"/>
      <c r="Z216" s="11"/>
    </row>
    <row r="217">
      <c r="A217" s="18"/>
      <c r="B217" s="11"/>
      <c r="C217" s="11"/>
      <c r="D217" s="11"/>
      <c r="E217" s="11"/>
      <c r="F217" s="11"/>
      <c r="G217" s="11"/>
      <c r="H217" s="11"/>
      <c r="I217" s="11"/>
      <c r="J217" s="11"/>
      <c r="K217" s="11"/>
      <c r="L217" s="15"/>
      <c r="M217" s="15"/>
      <c r="N217" s="15"/>
      <c r="O217" s="15"/>
      <c r="P217" s="15"/>
      <c r="Q217" s="11"/>
      <c r="R217" s="11"/>
      <c r="S217" s="11"/>
      <c r="T217" s="11"/>
      <c r="U217" s="15"/>
      <c r="V217" s="11"/>
      <c r="W217" s="11"/>
      <c r="X217" s="11"/>
      <c r="Y217" s="11"/>
      <c r="Z217" s="11"/>
    </row>
    <row r="218">
      <c r="A218" s="18"/>
      <c r="B218" s="11"/>
      <c r="C218" s="11"/>
      <c r="D218" s="11"/>
      <c r="E218" s="11"/>
      <c r="F218" s="11"/>
      <c r="G218" s="11"/>
      <c r="H218" s="11"/>
      <c r="I218" s="11"/>
      <c r="J218" s="11"/>
      <c r="K218" s="11"/>
      <c r="L218" s="15"/>
      <c r="M218" s="15"/>
      <c r="N218" s="15"/>
      <c r="O218" s="15"/>
      <c r="P218" s="15"/>
      <c r="Q218" s="11"/>
      <c r="R218" s="11"/>
      <c r="S218" s="11"/>
      <c r="T218" s="11"/>
      <c r="U218" s="15"/>
      <c r="V218" s="11"/>
      <c r="W218" s="11"/>
      <c r="X218" s="11"/>
      <c r="Y218" s="11"/>
      <c r="Z218" s="11"/>
    </row>
    <row r="219">
      <c r="A219" s="18"/>
      <c r="B219" s="11"/>
      <c r="C219" s="11"/>
      <c r="D219" s="11"/>
      <c r="E219" s="11"/>
      <c r="F219" s="11"/>
      <c r="G219" s="11"/>
      <c r="H219" s="11"/>
      <c r="I219" s="11"/>
      <c r="J219" s="11"/>
      <c r="K219" s="11"/>
      <c r="L219" s="15"/>
      <c r="M219" s="15"/>
      <c r="N219" s="15"/>
      <c r="O219" s="15"/>
      <c r="P219" s="15"/>
      <c r="Q219" s="11"/>
      <c r="R219" s="11"/>
      <c r="S219" s="11"/>
      <c r="T219" s="11"/>
      <c r="U219" s="15"/>
      <c r="V219" s="11"/>
      <c r="W219" s="11"/>
      <c r="X219" s="11"/>
      <c r="Y219" s="11"/>
      <c r="Z219" s="11"/>
    </row>
    <row r="220">
      <c r="A220" s="18"/>
      <c r="B220" s="11"/>
      <c r="C220" s="11"/>
      <c r="D220" s="11"/>
      <c r="E220" s="11"/>
      <c r="F220" s="11"/>
      <c r="G220" s="11"/>
      <c r="H220" s="11"/>
      <c r="I220" s="11"/>
      <c r="J220" s="11"/>
      <c r="K220" s="11"/>
      <c r="L220" s="15"/>
      <c r="M220" s="15"/>
      <c r="N220" s="15"/>
      <c r="O220" s="15"/>
      <c r="P220" s="15"/>
      <c r="Q220" s="11"/>
      <c r="R220" s="11"/>
      <c r="S220" s="11"/>
      <c r="T220" s="11"/>
      <c r="U220" s="15"/>
      <c r="V220" s="11"/>
      <c r="W220" s="11"/>
      <c r="X220" s="11"/>
      <c r="Y220" s="11"/>
      <c r="Z220" s="11"/>
    </row>
    <row r="221">
      <c r="A221" s="18"/>
      <c r="B221" s="11"/>
      <c r="C221" s="11"/>
      <c r="D221" s="11"/>
      <c r="E221" s="11"/>
      <c r="F221" s="11"/>
      <c r="G221" s="11"/>
      <c r="H221" s="11"/>
      <c r="I221" s="11"/>
      <c r="J221" s="11"/>
      <c r="K221" s="11"/>
      <c r="L221" s="15"/>
      <c r="M221" s="15"/>
      <c r="N221" s="15"/>
      <c r="O221" s="15"/>
      <c r="P221" s="15"/>
      <c r="Q221" s="11"/>
      <c r="R221" s="11"/>
      <c r="S221" s="11"/>
      <c r="T221" s="11"/>
      <c r="U221" s="15"/>
      <c r="V221" s="11"/>
      <c r="W221" s="11"/>
      <c r="X221" s="11"/>
      <c r="Y221" s="11"/>
      <c r="Z221" s="11"/>
    </row>
    <row r="222">
      <c r="A222" s="18"/>
      <c r="B222" s="11"/>
      <c r="C222" s="11"/>
      <c r="D222" s="11"/>
      <c r="E222" s="11"/>
      <c r="F222" s="11"/>
      <c r="G222" s="11"/>
      <c r="H222" s="11"/>
      <c r="I222" s="11"/>
      <c r="J222" s="11"/>
      <c r="K222" s="11"/>
      <c r="L222" s="15"/>
      <c r="M222" s="15"/>
      <c r="N222" s="15"/>
      <c r="O222" s="15"/>
      <c r="P222" s="15"/>
      <c r="Q222" s="11"/>
      <c r="R222" s="11"/>
      <c r="S222" s="11"/>
      <c r="T222" s="11"/>
      <c r="U222" s="15"/>
      <c r="V222" s="11"/>
      <c r="W222" s="11"/>
      <c r="X222" s="11"/>
      <c r="Y222" s="11"/>
      <c r="Z222" s="11"/>
    </row>
    <row r="223">
      <c r="A223" s="18"/>
      <c r="B223" s="11"/>
      <c r="C223" s="11"/>
      <c r="D223" s="11"/>
      <c r="E223" s="11"/>
      <c r="F223" s="11"/>
      <c r="G223" s="11"/>
      <c r="H223" s="11"/>
      <c r="I223" s="11"/>
      <c r="J223" s="11"/>
      <c r="K223" s="11"/>
      <c r="L223" s="15"/>
      <c r="M223" s="15"/>
      <c r="N223" s="15"/>
      <c r="O223" s="15"/>
      <c r="P223" s="15"/>
      <c r="Q223" s="11"/>
      <c r="R223" s="11"/>
      <c r="S223" s="11"/>
      <c r="T223" s="11"/>
      <c r="U223" s="15"/>
      <c r="V223" s="11"/>
      <c r="W223" s="11"/>
      <c r="X223" s="11"/>
      <c r="Y223" s="11"/>
      <c r="Z223" s="11"/>
    </row>
    <row r="224">
      <c r="A224" s="18"/>
      <c r="B224" s="11"/>
      <c r="C224" s="11"/>
      <c r="D224" s="11"/>
      <c r="E224" s="11"/>
      <c r="F224" s="11"/>
      <c r="G224" s="11"/>
      <c r="H224" s="11"/>
      <c r="I224" s="11"/>
      <c r="J224" s="11"/>
      <c r="K224" s="11"/>
      <c r="L224" s="15"/>
      <c r="M224" s="15"/>
      <c r="N224" s="15"/>
      <c r="O224" s="15"/>
      <c r="P224" s="15"/>
      <c r="Q224" s="11"/>
      <c r="R224" s="11"/>
      <c r="S224" s="11"/>
      <c r="T224" s="11"/>
      <c r="U224" s="15"/>
      <c r="V224" s="11"/>
      <c r="W224" s="11"/>
      <c r="X224" s="11"/>
      <c r="Y224" s="11"/>
      <c r="Z224" s="11"/>
    </row>
    <row r="225">
      <c r="A225" s="18"/>
      <c r="B225" s="11"/>
      <c r="C225" s="11"/>
      <c r="D225" s="11"/>
      <c r="E225" s="11"/>
      <c r="F225" s="11"/>
      <c r="G225" s="11"/>
      <c r="H225" s="11"/>
      <c r="I225" s="11"/>
      <c r="J225" s="11"/>
      <c r="K225" s="11"/>
      <c r="L225" s="15"/>
      <c r="M225" s="15"/>
      <c r="N225" s="15"/>
      <c r="O225" s="15"/>
      <c r="P225" s="15"/>
      <c r="Q225" s="11"/>
      <c r="R225" s="11"/>
      <c r="S225" s="11"/>
      <c r="T225" s="11"/>
      <c r="U225" s="15"/>
      <c r="V225" s="11"/>
      <c r="W225" s="11"/>
      <c r="X225" s="11"/>
      <c r="Y225" s="11"/>
      <c r="Z225" s="11"/>
    </row>
    <row r="226">
      <c r="A226" s="18"/>
      <c r="B226" s="11"/>
      <c r="C226" s="11"/>
      <c r="D226" s="11"/>
      <c r="E226" s="11"/>
      <c r="F226" s="11"/>
      <c r="G226" s="11"/>
      <c r="H226" s="11"/>
      <c r="I226" s="11"/>
      <c r="J226" s="11"/>
      <c r="K226" s="11"/>
      <c r="L226" s="15"/>
      <c r="M226" s="15"/>
      <c r="N226" s="15"/>
      <c r="O226" s="15"/>
      <c r="P226" s="15"/>
      <c r="Q226" s="11"/>
      <c r="R226" s="11"/>
      <c r="S226" s="11"/>
      <c r="T226" s="11"/>
      <c r="U226" s="15"/>
      <c r="V226" s="11"/>
      <c r="W226" s="11"/>
      <c r="X226" s="11"/>
      <c r="Y226" s="11"/>
      <c r="Z226" s="11"/>
    </row>
    <row r="227">
      <c r="A227" s="18"/>
      <c r="B227" s="11"/>
      <c r="C227" s="11"/>
      <c r="D227" s="11"/>
      <c r="E227" s="11"/>
      <c r="F227" s="11"/>
      <c r="G227" s="11"/>
      <c r="H227" s="11"/>
      <c r="I227" s="11"/>
      <c r="J227" s="11"/>
      <c r="K227" s="11"/>
      <c r="L227" s="15"/>
      <c r="M227" s="15"/>
      <c r="N227" s="15"/>
      <c r="O227" s="15"/>
      <c r="P227" s="15"/>
      <c r="Q227" s="11"/>
      <c r="R227" s="11"/>
      <c r="S227" s="11"/>
      <c r="T227" s="11"/>
      <c r="U227" s="15"/>
      <c r="V227" s="11"/>
      <c r="W227" s="11"/>
      <c r="X227" s="11"/>
      <c r="Y227" s="11"/>
      <c r="Z227" s="11"/>
    </row>
    <row r="228">
      <c r="A228" s="18"/>
      <c r="B228" s="11"/>
      <c r="C228" s="11"/>
      <c r="D228" s="11"/>
      <c r="E228" s="11"/>
      <c r="F228" s="11"/>
      <c r="G228" s="11"/>
      <c r="H228" s="11"/>
      <c r="I228" s="11"/>
      <c r="J228" s="11"/>
      <c r="K228" s="11"/>
      <c r="L228" s="15"/>
      <c r="M228" s="15"/>
      <c r="N228" s="15"/>
      <c r="O228" s="15"/>
      <c r="P228" s="15"/>
      <c r="Q228" s="11"/>
      <c r="R228" s="11"/>
      <c r="S228" s="11"/>
      <c r="T228" s="11"/>
      <c r="U228" s="15"/>
      <c r="V228" s="11"/>
      <c r="W228" s="11"/>
      <c r="X228" s="11"/>
      <c r="Y228" s="11"/>
      <c r="Z228" s="11"/>
    </row>
    <row r="229">
      <c r="A229" s="18"/>
      <c r="B229" s="11"/>
      <c r="C229" s="11"/>
      <c r="D229" s="11"/>
      <c r="E229" s="11"/>
      <c r="F229" s="11"/>
      <c r="G229" s="11"/>
      <c r="H229" s="11"/>
      <c r="I229" s="11"/>
      <c r="J229" s="11"/>
      <c r="K229" s="11"/>
      <c r="L229" s="15"/>
      <c r="M229" s="15"/>
      <c r="N229" s="15"/>
      <c r="O229" s="15"/>
      <c r="P229" s="15"/>
      <c r="Q229" s="11"/>
      <c r="R229" s="11"/>
      <c r="S229" s="11"/>
      <c r="T229" s="11"/>
      <c r="U229" s="15"/>
      <c r="V229" s="11"/>
      <c r="W229" s="11"/>
      <c r="X229" s="11"/>
      <c r="Y229" s="11"/>
      <c r="Z229" s="11"/>
    </row>
    <row r="230">
      <c r="A230" s="18"/>
      <c r="B230" s="11"/>
      <c r="C230" s="11"/>
      <c r="D230" s="11"/>
      <c r="E230" s="11"/>
      <c r="F230" s="11"/>
      <c r="G230" s="11"/>
      <c r="H230" s="11"/>
      <c r="I230" s="11"/>
      <c r="J230" s="11"/>
      <c r="K230" s="11"/>
      <c r="L230" s="15"/>
      <c r="M230" s="15"/>
      <c r="N230" s="15"/>
      <c r="O230" s="15"/>
      <c r="P230" s="15"/>
      <c r="Q230" s="11"/>
      <c r="R230" s="11"/>
      <c r="S230" s="11"/>
      <c r="T230" s="11"/>
      <c r="U230" s="15"/>
      <c r="V230" s="11"/>
      <c r="W230" s="11"/>
      <c r="X230" s="11"/>
      <c r="Y230" s="11"/>
      <c r="Z230" s="11"/>
    </row>
    <row r="231">
      <c r="A231" s="18"/>
      <c r="B231" s="11"/>
      <c r="C231" s="11"/>
      <c r="D231" s="11"/>
      <c r="E231" s="11"/>
      <c r="F231" s="11"/>
      <c r="G231" s="11"/>
      <c r="H231" s="11"/>
      <c r="I231" s="11"/>
      <c r="J231" s="11"/>
      <c r="K231" s="11"/>
      <c r="L231" s="15"/>
      <c r="M231" s="15"/>
      <c r="N231" s="15"/>
      <c r="O231" s="15"/>
      <c r="P231" s="15"/>
      <c r="Q231" s="11"/>
      <c r="R231" s="11"/>
      <c r="S231" s="11"/>
      <c r="T231" s="11"/>
      <c r="U231" s="15"/>
      <c r="V231" s="11"/>
      <c r="W231" s="11"/>
      <c r="X231" s="11"/>
      <c r="Y231" s="11"/>
      <c r="Z231" s="11"/>
    </row>
    <row r="232">
      <c r="A232" s="18"/>
      <c r="B232" s="11"/>
      <c r="C232" s="11"/>
      <c r="D232" s="11"/>
      <c r="E232" s="11"/>
      <c r="F232" s="11"/>
      <c r="G232" s="11"/>
      <c r="H232" s="11"/>
      <c r="I232" s="11"/>
      <c r="J232" s="11"/>
      <c r="K232" s="11"/>
      <c r="L232" s="15"/>
      <c r="M232" s="15"/>
      <c r="N232" s="15"/>
      <c r="O232" s="15"/>
      <c r="P232" s="15"/>
      <c r="Q232" s="11"/>
      <c r="R232" s="11"/>
      <c r="S232" s="11"/>
      <c r="T232" s="11"/>
      <c r="U232" s="15"/>
      <c r="V232" s="11"/>
      <c r="W232" s="11"/>
      <c r="X232" s="11"/>
      <c r="Y232" s="11"/>
      <c r="Z232" s="11"/>
    </row>
    <row r="233">
      <c r="A233" s="18"/>
      <c r="B233" s="11"/>
      <c r="C233" s="11"/>
      <c r="D233" s="11"/>
      <c r="E233" s="11"/>
      <c r="F233" s="11"/>
      <c r="G233" s="11"/>
      <c r="H233" s="11"/>
      <c r="I233" s="11"/>
      <c r="J233" s="11"/>
      <c r="K233" s="11"/>
      <c r="L233" s="15"/>
      <c r="M233" s="15"/>
      <c r="N233" s="15"/>
      <c r="O233" s="15"/>
      <c r="P233" s="15"/>
      <c r="Q233" s="11"/>
      <c r="R233" s="11"/>
      <c r="S233" s="11"/>
      <c r="T233" s="11"/>
      <c r="U233" s="15"/>
      <c r="V233" s="11"/>
      <c r="W233" s="11"/>
      <c r="X233" s="11"/>
      <c r="Y233" s="11"/>
      <c r="Z233" s="11"/>
    </row>
    <row r="234">
      <c r="A234" s="18"/>
      <c r="B234" s="11"/>
      <c r="C234" s="11"/>
      <c r="D234" s="11"/>
      <c r="E234" s="11"/>
      <c r="F234" s="11"/>
      <c r="G234" s="11"/>
      <c r="H234" s="11"/>
      <c r="I234" s="11"/>
      <c r="J234" s="11"/>
      <c r="K234" s="11"/>
      <c r="L234" s="15"/>
      <c r="M234" s="15"/>
      <c r="N234" s="15"/>
      <c r="O234" s="15"/>
      <c r="P234" s="15"/>
      <c r="Q234" s="11"/>
      <c r="R234" s="11"/>
      <c r="S234" s="11"/>
      <c r="T234" s="11"/>
      <c r="U234" s="15"/>
      <c r="V234" s="11"/>
      <c r="W234" s="11"/>
      <c r="X234" s="11"/>
      <c r="Y234" s="11"/>
      <c r="Z234" s="11"/>
    </row>
    <row r="235">
      <c r="A235" s="18"/>
      <c r="B235" s="11"/>
      <c r="C235" s="11"/>
      <c r="D235" s="11"/>
      <c r="E235" s="11"/>
      <c r="F235" s="11"/>
      <c r="G235" s="11"/>
      <c r="H235" s="11"/>
      <c r="I235" s="11"/>
      <c r="J235" s="11"/>
      <c r="K235" s="11"/>
      <c r="L235" s="15"/>
      <c r="M235" s="15"/>
      <c r="N235" s="15"/>
      <c r="O235" s="15"/>
      <c r="P235" s="15"/>
      <c r="Q235" s="11"/>
      <c r="R235" s="11"/>
      <c r="S235" s="11"/>
      <c r="T235" s="11"/>
      <c r="U235" s="15"/>
      <c r="V235" s="11"/>
      <c r="W235" s="11"/>
      <c r="X235" s="11"/>
      <c r="Y235" s="11"/>
      <c r="Z235" s="11"/>
    </row>
    <row r="236">
      <c r="A236" s="18"/>
      <c r="B236" s="11"/>
      <c r="C236" s="11"/>
      <c r="D236" s="11"/>
      <c r="E236" s="11"/>
      <c r="F236" s="11"/>
      <c r="G236" s="11"/>
      <c r="H236" s="11"/>
      <c r="I236" s="11"/>
      <c r="J236" s="11"/>
      <c r="K236" s="11"/>
      <c r="L236" s="15"/>
      <c r="M236" s="15"/>
      <c r="N236" s="15"/>
      <c r="O236" s="15"/>
      <c r="P236" s="15"/>
      <c r="Q236" s="11"/>
      <c r="R236" s="11"/>
      <c r="S236" s="11"/>
      <c r="T236" s="11"/>
      <c r="U236" s="15"/>
      <c r="V236" s="11"/>
      <c r="W236" s="11"/>
      <c r="X236" s="11"/>
      <c r="Y236" s="11"/>
      <c r="Z236" s="11"/>
    </row>
    <row r="237">
      <c r="A237" s="18"/>
      <c r="B237" s="11"/>
      <c r="C237" s="11"/>
      <c r="D237" s="11"/>
      <c r="E237" s="11"/>
      <c r="F237" s="11"/>
      <c r="G237" s="11"/>
      <c r="H237" s="11"/>
      <c r="I237" s="11"/>
      <c r="J237" s="11"/>
      <c r="K237" s="11"/>
      <c r="L237" s="15"/>
      <c r="M237" s="15"/>
      <c r="N237" s="15"/>
      <c r="O237" s="15"/>
      <c r="P237" s="15"/>
      <c r="Q237" s="11"/>
      <c r="R237" s="11"/>
      <c r="S237" s="11"/>
      <c r="T237" s="11"/>
      <c r="U237" s="15"/>
      <c r="V237" s="11"/>
      <c r="W237" s="11"/>
      <c r="X237" s="11"/>
      <c r="Y237" s="11"/>
      <c r="Z237" s="11"/>
    </row>
    <row r="238">
      <c r="A238" s="18"/>
      <c r="B238" s="11"/>
      <c r="C238" s="11"/>
      <c r="D238" s="11"/>
      <c r="E238" s="11"/>
      <c r="F238" s="11"/>
      <c r="G238" s="11"/>
      <c r="H238" s="11"/>
      <c r="I238" s="11"/>
      <c r="J238" s="11"/>
      <c r="K238" s="11"/>
      <c r="L238" s="15"/>
      <c r="M238" s="15"/>
      <c r="N238" s="15"/>
      <c r="O238" s="15"/>
      <c r="P238" s="15"/>
      <c r="Q238" s="11"/>
      <c r="R238" s="11"/>
      <c r="S238" s="11"/>
      <c r="T238" s="11"/>
      <c r="U238" s="15"/>
      <c r="V238" s="11"/>
      <c r="W238" s="11"/>
      <c r="X238" s="11"/>
      <c r="Y238" s="11"/>
      <c r="Z238" s="11"/>
    </row>
    <row r="239">
      <c r="A239" s="18"/>
      <c r="B239" s="11"/>
      <c r="C239" s="11"/>
      <c r="D239" s="11"/>
      <c r="E239" s="11"/>
      <c r="F239" s="11"/>
      <c r="G239" s="11"/>
      <c r="H239" s="11"/>
      <c r="I239" s="11"/>
      <c r="J239" s="11"/>
      <c r="K239" s="11"/>
      <c r="L239" s="15"/>
      <c r="M239" s="15"/>
      <c r="N239" s="15"/>
      <c r="O239" s="15"/>
      <c r="P239" s="15"/>
      <c r="Q239" s="11"/>
      <c r="R239" s="11"/>
      <c r="S239" s="11"/>
      <c r="T239" s="11"/>
      <c r="U239" s="15"/>
      <c r="V239" s="11"/>
      <c r="W239" s="11"/>
      <c r="X239" s="11"/>
      <c r="Y239" s="11"/>
      <c r="Z239" s="11"/>
    </row>
    <row r="240">
      <c r="A240" s="18"/>
      <c r="B240" s="11"/>
      <c r="C240" s="11"/>
      <c r="D240" s="11"/>
      <c r="E240" s="11"/>
      <c r="F240" s="11"/>
      <c r="G240" s="11"/>
      <c r="H240" s="11"/>
      <c r="I240" s="11"/>
      <c r="J240" s="11"/>
      <c r="K240" s="11"/>
      <c r="L240" s="15"/>
      <c r="M240" s="15"/>
      <c r="N240" s="15"/>
      <c r="O240" s="15"/>
      <c r="P240" s="15"/>
      <c r="Q240" s="11"/>
      <c r="R240" s="11"/>
      <c r="S240" s="11"/>
      <c r="T240" s="11"/>
      <c r="U240" s="15"/>
      <c r="V240" s="11"/>
      <c r="W240" s="11"/>
      <c r="X240" s="11"/>
      <c r="Y240" s="11"/>
      <c r="Z240" s="11"/>
    </row>
    <row r="241">
      <c r="A241" s="18"/>
      <c r="B241" s="11"/>
      <c r="C241" s="11"/>
      <c r="D241" s="11"/>
      <c r="E241" s="11"/>
      <c r="F241" s="11"/>
      <c r="G241" s="11"/>
      <c r="H241" s="11"/>
      <c r="I241" s="11"/>
      <c r="J241" s="11"/>
      <c r="K241" s="11"/>
      <c r="L241" s="15"/>
      <c r="M241" s="15"/>
      <c r="N241" s="15"/>
      <c r="O241" s="15"/>
      <c r="P241" s="15"/>
      <c r="Q241" s="11"/>
      <c r="R241" s="11"/>
      <c r="S241" s="11"/>
      <c r="T241" s="11"/>
      <c r="U241" s="15"/>
      <c r="V241" s="11"/>
      <c r="W241" s="11"/>
      <c r="X241" s="11"/>
      <c r="Y241" s="11"/>
      <c r="Z241" s="11"/>
    </row>
    <row r="242">
      <c r="A242" s="18"/>
      <c r="B242" s="11"/>
      <c r="C242" s="11"/>
      <c r="D242" s="11"/>
      <c r="E242" s="11"/>
      <c r="F242" s="11"/>
      <c r="G242" s="11"/>
      <c r="H242" s="11"/>
      <c r="I242" s="11"/>
      <c r="J242" s="11"/>
      <c r="K242" s="11"/>
      <c r="L242" s="15"/>
      <c r="M242" s="15"/>
      <c r="N242" s="15"/>
      <c r="O242" s="15"/>
      <c r="P242" s="15"/>
      <c r="Q242" s="11"/>
      <c r="R242" s="11"/>
      <c r="S242" s="11"/>
      <c r="T242" s="11"/>
      <c r="U242" s="15"/>
      <c r="V242" s="11"/>
      <c r="W242" s="11"/>
      <c r="X242" s="11"/>
      <c r="Y242" s="11"/>
      <c r="Z242" s="11"/>
    </row>
    <row r="243">
      <c r="A243" s="18"/>
      <c r="B243" s="11"/>
      <c r="C243" s="11"/>
      <c r="D243" s="11"/>
      <c r="E243" s="11"/>
      <c r="F243" s="11"/>
      <c r="G243" s="11"/>
      <c r="H243" s="11"/>
      <c r="I243" s="11"/>
      <c r="J243" s="11"/>
      <c r="K243" s="11"/>
      <c r="L243" s="15"/>
      <c r="M243" s="15"/>
      <c r="N243" s="15"/>
      <c r="O243" s="15"/>
      <c r="P243" s="15"/>
      <c r="Q243" s="11"/>
      <c r="R243" s="11"/>
      <c r="S243" s="11"/>
      <c r="T243" s="11"/>
      <c r="U243" s="15"/>
      <c r="V243" s="11"/>
      <c r="W243" s="11"/>
      <c r="X243" s="11"/>
      <c r="Y243" s="11"/>
      <c r="Z243" s="11"/>
    </row>
    <row r="244">
      <c r="A244" s="18"/>
      <c r="B244" s="11"/>
      <c r="C244" s="11"/>
      <c r="D244" s="11"/>
      <c r="E244" s="11"/>
      <c r="F244" s="11"/>
      <c r="G244" s="11"/>
      <c r="H244" s="11"/>
      <c r="I244" s="11"/>
      <c r="J244" s="11"/>
      <c r="K244" s="11"/>
      <c r="L244" s="15"/>
      <c r="M244" s="15"/>
      <c r="N244" s="15"/>
      <c r="O244" s="15"/>
      <c r="P244" s="15"/>
      <c r="Q244" s="11"/>
      <c r="R244" s="11"/>
      <c r="S244" s="11"/>
      <c r="T244" s="11"/>
      <c r="U244" s="15"/>
      <c r="V244" s="11"/>
      <c r="W244" s="11"/>
      <c r="X244" s="11"/>
      <c r="Y244" s="11"/>
      <c r="Z244" s="11"/>
    </row>
    <row r="245">
      <c r="A245" s="18"/>
      <c r="B245" s="11"/>
      <c r="C245" s="11"/>
      <c r="D245" s="11"/>
      <c r="E245" s="11"/>
      <c r="F245" s="11"/>
      <c r="G245" s="11"/>
      <c r="H245" s="11"/>
      <c r="I245" s="11"/>
      <c r="J245" s="11"/>
      <c r="K245" s="11"/>
      <c r="L245" s="15"/>
      <c r="M245" s="15"/>
      <c r="N245" s="15"/>
      <c r="O245" s="15"/>
      <c r="P245" s="15"/>
      <c r="Q245" s="11"/>
      <c r="R245" s="11"/>
      <c r="S245" s="11"/>
      <c r="T245" s="11"/>
      <c r="U245" s="15"/>
      <c r="V245" s="11"/>
      <c r="W245" s="11"/>
      <c r="X245" s="11"/>
      <c r="Y245" s="11"/>
      <c r="Z245" s="11"/>
    </row>
    <row r="246">
      <c r="A246" s="18"/>
      <c r="B246" s="11"/>
      <c r="C246" s="11"/>
      <c r="D246" s="11"/>
      <c r="E246" s="11"/>
      <c r="F246" s="11"/>
      <c r="G246" s="11"/>
      <c r="H246" s="11"/>
      <c r="I246" s="11"/>
      <c r="J246" s="11"/>
      <c r="K246" s="11"/>
      <c r="L246" s="15"/>
      <c r="M246" s="15"/>
      <c r="N246" s="15"/>
      <c r="O246" s="15"/>
      <c r="P246" s="15"/>
      <c r="Q246" s="11"/>
      <c r="R246" s="11"/>
      <c r="S246" s="11"/>
      <c r="T246" s="11"/>
      <c r="U246" s="15"/>
      <c r="V246" s="11"/>
      <c r="W246" s="11"/>
      <c r="X246" s="11"/>
      <c r="Y246" s="11"/>
      <c r="Z246" s="11"/>
    </row>
    <row r="247">
      <c r="A247" s="18"/>
      <c r="B247" s="11"/>
      <c r="C247" s="11"/>
      <c r="D247" s="11"/>
      <c r="E247" s="11"/>
      <c r="F247" s="11"/>
      <c r="G247" s="11"/>
      <c r="H247" s="11"/>
      <c r="I247" s="11"/>
      <c r="J247" s="11"/>
      <c r="K247" s="11"/>
      <c r="L247" s="15"/>
      <c r="M247" s="15"/>
      <c r="N247" s="15"/>
      <c r="O247" s="15"/>
      <c r="P247" s="15"/>
      <c r="Q247" s="11"/>
      <c r="R247" s="11"/>
      <c r="S247" s="11"/>
      <c r="T247" s="11"/>
      <c r="U247" s="15"/>
      <c r="V247" s="11"/>
      <c r="W247" s="11"/>
      <c r="X247" s="11"/>
      <c r="Y247" s="11"/>
      <c r="Z247" s="11"/>
    </row>
    <row r="248">
      <c r="A248" s="18"/>
      <c r="B248" s="11"/>
      <c r="C248" s="11"/>
      <c r="D248" s="11"/>
      <c r="E248" s="11"/>
      <c r="F248" s="11"/>
      <c r="G248" s="11"/>
      <c r="H248" s="11"/>
      <c r="I248" s="11"/>
      <c r="J248" s="11"/>
      <c r="K248" s="11"/>
      <c r="L248" s="15"/>
      <c r="M248" s="15"/>
      <c r="N248" s="15"/>
      <c r="O248" s="15"/>
      <c r="P248" s="15"/>
      <c r="Q248" s="11"/>
      <c r="R248" s="11"/>
      <c r="S248" s="11"/>
      <c r="T248" s="11"/>
      <c r="U248" s="15"/>
      <c r="V248" s="11"/>
      <c r="W248" s="11"/>
      <c r="X248" s="11"/>
      <c r="Y248" s="11"/>
      <c r="Z248" s="11"/>
    </row>
    <row r="249">
      <c r="A249" s="18"/>
      <c r="B249" s="11"/>
      <c r="C249" s="11"/>
      <c r="D249" s="11"/>
      <c r="E249" s="11"/>
      <c r="F249" s="11"/>
      <c r="G249" s="11"/>
      <c r="H249" s="11"/>
      <c r="I249" s="11"/>
      <c r="J249" s="11"/>
      <c r="K249" s="11"/>
      <c r="L249" s="15"/>
      <c r="M249" s="15"/>
      <c r="N249" s="15"/>
      <c r="O249" s="15"/>
      <c r="P249" s="15"/>
      <c r="Q249" s="11"/>
      <c r="R249" s="11"/>
      <c r="S249" s="11"/>
      <c r="T249" s="11"/>
      <c r="U249" s="15"/>
      <c r="V249" s="11"/>
      <c r="W249" s="11"/>
      <c r="X249" s="11"/>
      <c r="Y249" s="11"/>
      <c r="Z249" s="11"/>
    </row>
    <row r="250">
      <c r="A250" s="18"/>
      <c r="B250" s="11"/>
      <c r="C250" s="11"/>
      <c r="D250" s="11"/>
      <c r="E250" s="11"/>
      <c r="F250" s="11"/>
      <c r="G250" s="11"/>
      <c r="H250" s="11"/>
      <c r="I250" s="11"/>
      <c r="J250" s="11"/>
      <c r="K250" s="11"/>
      <c r="L250" s="15"/>
      <c r="M250" s="15"/>
      <c r="N250" s="15"/>
      <c r="O250" s="15"/>
      <c r="P250" s="15"/>
      <c r="Q250" s="11"/>
      <c r="R250" s="11"/>
      <c r="S250" s="11"/>
      <c r="T250" s="11"/>
      <c r="U250" s="15"/>
      <c r="V250" s="11"/>
      <c r="W250" s="11"/>
      <c r="X250" s="11"/>
      <c r="Y250" s="11"/>
      <c r="Z250" s="11"/>
    </row>
    <row r="251">
      <c r="A251" s="18"/>
      <c r="B251" s="11"/>
      <c r="C251" s="11"/>
      <c r="D251" s="11"/>
      <c r="E251" s="11"/>
      <c r="F251" s="11"/>
      <c r="G251" s="11"/>
      <c r="H251" s="11"/>
      <c r="I251" s="11"/>
      <c r="J251" s="11"/>
      <c r="K251" s="11"/>
      <c r="L251" s="15"/>
      <c r="M251" s="15"/>
      <c r="N251" s="15"/>
      <c r="O251" s="15"/>
      <c r="P251" s="15"/>
      <c r="Q251" s="11"/>
      <c r="R251" s="11"/>
      <c r="S251" s="11"/>
      <c r="T251" s="11"/>
      <c r="U251" s="15"/>
      <c r="V251" s="11"/>
      <c r="W251" s="11"/>
      <c r="X251" s="11"/>
      <c r="Y251" s="11"/>
      <c r="Z251" s="11"/>
    </row>
    <row r="252">
      <c r="A252" s="18"/>
      <c r="B252" s="11"/>
      <c r="C252" s="11"/>
      <c r="D252" s="11"/>
      <c r="E252" s="11"/>
      <c r="F252" s="11"/>
      <c r="G252" s="11"/>
      <c r="H252" s="11"/>
      <c r="I252" s="11"/>
      <c r="J252" s="11"/>
      <c r="K252" s="11"/>
      <c r="L252" s="15"/>
      <c r="M252" s="15"/>
      <c r="N252" s="15"/>
      <c r="O252" s="15"/>
      <c r="P252" s="15"/>
      <c r="Q252" s="11"/>
      <c r="R252" s="11"/>
      <c r="S252" s="11"/>
      <c r="T252" s="11"/>
      <c r="U252" s="15"/>
      <c r="V252" s="11"/>
      <c r="W252" s="11"/>
      <c r="X252" s="11"/>
      <c r="Y252" s="11"/>
      <c r="Z252" s="11"/>
    </row>
    <row r="253">
      <c r="A253" s="18"/>
      <c r="B253" s="11"/>
      <c r="C253" s="11"/>
      <c r="D253" s="11"/>
      <c r="E253" s="11"/>
      <c r="F253" s="11"/>
      <c r="G253" s="11"/>
      <c r="H253" s="11"/>
      <c r="I253" s="11"/>
      <c r="J253" s="11"/>
      <c r="K253" s="11"/>
      <c r="L253" s="15"/>
      <c r="M253" s="15"/>
      <c r="N253" s="15"/>
      <c r="O253" s="15"/>
      <c r="P253" s="15"/>
      <c r="Q253" s="11"/>
      <c r="R253" s="11"/>
      <c r="S253" s="11"/>
      <c r="T253" s="11"/>
      <c r="U253" s="15"/>
      <c r="V253" s="11"/>
      <c r="W253" s="11"/>
      <c r="X253" s="11"/>
      <c r="Y253" s="11"/>
      <c r="Z253" s="11"/>
    </row>
    <row r="254">
      <c r="A254" s="18"/>
      <c r="B254" s="11"/>
      <c r="C254" s="11"/>
      <c r="D254" s="11"/>
      <c r="E254" s="11"/>
      <c r="F254" s="11"/>
      <c r="G254" s="11"/>
      <c r="H254" s="11"/>
      <c r="I254" s="11"/>
      <c r="J254" s="11"/>
      <c r="K254" s="11"/>
      <c r="L254" s="15"/>
      <c r="M254" s="15"/>
      <c r="N254" s="15"/>
      <c r="O254" s="15"/>
      <c r="P254" s="15"/>
      <c r="Q254" s="11"/>
      <c r="R254" s="11"/>
      <c r="S254" s="11"/>
      <c r="T254" s="11"/>
      <c r="U254" s="15"/>
      <c r="V254" s="11"/>
      <c r="W254" s="11"/>
      <c r="X254" s="11"/>
      <c r="Y254" s="11"/>
      <c r="Z254" s="11"/>
    </row>
    <row r="255">
      <c r="A255" s="18"/>
      <c r="B255" s="11"/>
      <c r="C255" s="11"/>
      <c r="D255" s="11"/>
      <c r="E255" s="11"/>
      <c r="F255" s="11"/>
      <c r="G255" s="11"/>
      <c r="H255" s="11"/>
      <c r="I255" s="11"/>
      <c r="J255" s="11"/>
      <c r="K255" s="11"/>
      <c r="L255" s="15"/>
      <c r="M255" s="15"/>
      <c r="N255" s="15"/>
      <c r="O255" s="15"/>
      <c r="P255" s="15"/>
      <c r="Q255" s="11"/>
      <c r="R255" s="11"/>
      <c r="S255" s="11"/>
      <c r="T255" s="11"/>
      <c r="U255" s="15"/>
      <c r="V255" s="11"/>
      <c r="W255" s="11"/>
      <c r="X255" s="11"/>
      <c r="Y255" s="11"/>
      <c r="Z255" s="11"/>
    </row>
    <row r="256">
      <c r="A256" s="18"/>
      <c r="B256" s="11"/>
      <c r="C256" s="11"/>
      <c r="D256" s="11"/>
      <c r="E256" s="11"/>
      <c r="F256" s="11"/>
      <c r="G256" s="11"/>
      <c r="H256" s="11"/>
      <c r="I256" s="11"/>
      <c r="J256" s="11"/>
      <c r="K256" s="11"/>
      <c r="L256" s="15"/>
      <c r="M256" s="15"/>
      <c r="N256" s="15"/>
      <c r="O256" s="15"/>
      <c r="P256" s="15"/>
      <c r="Q256" s="11"/>
      <c r="R256" s="11"/>
      <c r="S256" s="11"/>
      <c r="T256" s="11"/>
      <c r="U256" s="15"/>
      <c r="V256" s="11"/>
      <c r="W256" s="11"/>
      <c r="X256" s="11"/>
      <c r="Y256" s="11"/>
      <c r="Z256" s="11"/>
    </row>
    <row r="257">
      <c r="A257" s="18"/>
      <c r="B257" s="11"/>
      <c r="C257" s="11"/>
      <c r="D257" s="11"/>
      <c r="E257" s="11"/>
      <c r="F257" s="11"/>
      <c r="G257" s="11"/>
      <c r="H257" s="11"/>
      <c r="I257" s="11"/>
      <c r="J257" s="11"/>
      <c r="K257" s="11"/>
      <c r="L257" s="15"/>
      <c r="M257" s="15"/>
      <c r="N257" s="15"/>
      <c r="O257" s="15"/>
      <c r="P257" s="15"/>
      <c r="Q257" s="11"/>
      <c r="R257" s="11"/>
      <c r="S257" s="11"/>
      <c r="T257" s="11"/>
      <c r="U257" s="15"/>
      <c r="V257" s="11"/>
      <c r="W257" s="11"/>
      <c r="X257" s="11"/>
      <c r="Y257" s="11"/>
      <c r="Z257" s="11"/>
    </row>
    <row r="258">
      <c r="A258" s="18"/>
      <c r="B258" s="11"/>
      <c r="C258" s="11"/>
      <c r="D258" s="11"/>
      <c r="E258" s="11"/>
      <c r="F258" s="11"/>
      <c r="G258" s="11"/>
      <c r="H258" s="11"/>
      <c r="I258" s="11"/>
      <c r="J258" s="11"/>
      <c r="K258" s="11"/>
      <c r="L258" s="15"/>
      <c r="M258" s="15"/>
      <c r="N258" s="15"/>
      <c r="O258" s="15"/>
      <c r="P258" s="15"/>
      <c r="Q258" s="11"/>
      <c r="R258" s="11"/>
      <c r="S258" s="11"/>
      <c r="T258" s="11"/>
      <c r="U258" s="15"/>
      <c r="V258" s="11"/>
      <c r="W258" s="11"/>
      <c r="X258" s="11"/>
      <c r="Y258" s="11"/>
      <c r="Z258" s="11"/>
    </row>
    <row r="259">
      <c r="A259" s="18"/>
      <c r="B259" s="11"/>
      <c r="C259" s="11"/>
      <c r="D259" s="11"/>
      <c r="E259" s="11"/>
      <c r="F259" s="11"/>
      <c r="G259" s="11"/>
      <c r="H259" s="11"/>
      <c r="I259" s="11"/>
      <c r="J259" s="11"/>
      <c r="K259" s="11"/>
      <c r="L259" s="15"/>
      <c r="M259" s="15"/>
      <c r="N259" s="15"/>
      <c r="O259" s="15"/>
      <c r="P259" s="15"/>
      <c r="Q259" s="11"/>
      <c r="R259" s="11"/>
      <c r="S259" s="11"/>
      <c r="T259" s="11"/>
      <c r="U259" s="15"/>
      <c r="V259" s="11"/>
      <c r="W259" s="11"/>
      <c r="X259" s="11"/>
      <c r="Y259" s="11"/>
      <c r="Z259" s="11"/>
    </row>
    <row r="260">
      <c r="A260" s="18"/>
      <c r="B260" s="11"/>
      <c r="C260" s="11"/>
      <c r="D260" s="11"/>
      <c r="E260" s="11"/>
      <c r="F260" s="11"/>
      <c r="G260" s="11"/>
      <c r="H260" s="11"/>
      <c r="I260" s="11"/>
      <c r="J260" s="11"/>
      <c r="K260" s="11"/>
      <c r="L260" s="15"/>
      <c r="M260" s="15"/>
      <c r="N260" s="15"/>
      <c r="O260" s="15"/>
      <c r="P260" s="15"/>
      <c r="Q260" s="11"/>
      <c r="R260" s="11"/>
      <c r="S260" s="11"/>
      <c r="T260" s="11"/>
      <c r="U260" s="15"/>
      <c r="V260" s="11"/>
      <c r="W260" s="11"/>
      <c r="X260" s="11"/>
      <c r="Y260" s="11"/>
      <c r="Z260" s="11"/>
    </row>
    <row r="261">
      <c r="A261" s="18"/>
      <c r="B261" s="11"/>
      <c r="C261" s="11"/>
      <c r="D261" s="11"/>
      <c r="E261" s="11"/>
      <c r="F261" s="11"/>
      <c r="G261" s="11"/>
      <c r="H261" s="11"/>
      <c r="I261" s="11"/>
      <c r="J261" s="11"/>
      <c r="K261" s="11"/>
      <c r="L261" s="15"/>
      <c r="M261" s="15"/>
      <c r="N261" s="15"/>
      <c r="O261" s="15"/>
      <c r="P261" s="15"/>
      <c r="Q261" s="11"/>
      <c r="R261" s="11"/>
      <c r="S261" s="11"/>
      <c r="T261" s="11"/>
      <c r="U261" s="15"/>
      <c r="V261" s="11"/>
      <c r="W261" s="11"/>
      <c r="X261" s="11"/>
      <c r="Y261" s="11"/>
      <c r="Z261" s="11"/>
    </row>
    <row r="262">
      <c r="A262" s="18"/>
      <c r="B262" s="11"/>
      <c r="C262" s="11"/>
      <c r="D262" s="11"/>
      <c r="E262" s="11"/>
      <c r="F262" s="11"/>
      <c r="G262" s="11"/>
      <c r="H262" s="11"/>
      <c r="I262" s="11"/>
      <c r="J262" s="11"/>
      <c r="K262" s="11"/>
      <c r="L262" s="15"/>
      <c r="M262" s="15"/>
      <c r="N262" s="15"/>
      <c r="O262" s="15"/>
      <c r="P262" s="15"/>
      <c r="Q262" s="11"/>
      <c r="R262" s="11"/>
      <c r="S262" s="11"/>
      <c r="T262" s="11"/>
      <c r="U262" s="15"/>
      <c r="V262" s="11"/>
      <c r="W262" s="11"/>
      <c r="X262" s="11"/>
      <c r="Y262" s="11"/>
      <c r="Z262" s="11"/>
    </row>
    <row r="263">
      <c r="A263" s="18"/>
      <c r="B263" s="11"/>
      <c r="C263" s="11"/>
      <c r="D263" s="11"/>
      <c r="E263" s="11"/>
      <c r="F263" s="11"/>
      <c r="G263" s="11"/>
      <c r="H263" s="11"/>
      <c r="I263" s="11"/>
      <c r="J263" s="11"/>
      <c r="K263" s="11"/>
      <c r="L263" s="15"/>
      <c r="M263" s="15"/>
      <c r="N263" s="15"/>
      <c r="O263" s="15"/>
      <c r="P263" s="15"/>
      <c r="Q263" s="11"/>
      <c r="R263" s="11"/>
      <c r="S263" s="11"/>
      <c r="T263" s="11"/>
      <c r="U263" s="15"/>
      <c r="V263" s="11"/>
      <c r="W263" s="11"/>
      <c r="X263" s="11"/>
      <c r="Y263" s="11"/>
      <c r="Z263" s="11"/>
    </row>
    <row r="264">
      <c r="A264" s="18"/>
      <c r="B264" s="11"/>
      <c r="C264" s="11"/>
      <c r="D264" s="11"/>
      <c r="E264" s="11"/>
      <c r="F264" s="11"/>
      <c r="G264" s="11"/>
      <c r="H264" s="11"/>
      <c r="I264" s="11"/>
      <c r="J264" s="11"/>
      <c r="K264" s="11"/>
      <c r="L264" s="15"/>
      <c r="M264" s="15"/>
      <c r="N264" s="15"/>
      <c r="O264" s="15"/>
      <c r="P264" s="15"/>
      <c r="Q264" s="11"/>
      <c r="R264" s="11"/>
      <c r="S264" s="11"/>
      <c r="T264" s="11"/>
      <c r="U264" s="15"/>
      <c r="V264" s="11"/>
      <c r="W264" s="11"/>
      <c r="X264" s="11"/>
      <c r="Y264" s="11"/>
      <c r="Z264" s="11"/>
    </row>
    <row r="265">
      <c r="A265" s="18"/>
      <c r="B265" s="11"/>
      <c r="C265" s="11"/>
      <c r="D265" s="11"/>
      <c r="E265" s="11"/>
      <c r="F265" s="11"/>
      <c r="G265" s="11"/>
      <c r="H265" s="11"/>
      <c r="I265" s="11"/>
      <c r="J265" s="11"/>
      <c r="K265" s="11"/>
      <c r="L265" s="15"/>
      <c r="M265" s="15"/>
      <c r="N265" s="15"/>
      <c r="O265" s="15"/>
      <c r="P265" s="15"/>
      <c r="Q265" s="11"/>
      <c r="R265" s="11"/>
      <c r="S265" s="11"/>
      <c r="T265" s="11"/>
      <c r="U265" s="15"/>
      <c r="V265" s="11"/>
      <c r="W265" s="11"/>
      <c r="X265" s="11"/>
      <c r="Y265" s="11"/>
      <c r="Z265" s="11"/>
    </row>
    <row r="266">
      <c r="A266" s="18"/>
      <c r="B266" s="11"/>
      <c r="C266" s="11"/>
      <c r="D266" s="11"/>
      <c r="E266" s="11"/>
      <c r="F266" s="11"/>
      <c r="G266" s="11"/>
      <c r="H266" s="11"/>
      <c r="I266" s="11"/>
      <c r="J266" s="11"/>
      <c r="K266" s="11"/>
      <c r="L266" s="15"/>
      <c r="M266" s="15"/>
      <c r="N266" s="15"/>
      <c r="O266" s="15"/>
      <c r="P266" s="15"/>
      <c r="Q266" s="11"/>
      <c r="R266" s="11"/>
      <c r="S266" s="11"/>
      <c r="T266" s="11"/>
      <c r="U266" s="15"/>
      <c r="V266" s="11"/>
      <c r="W266" s="11"/>
      <c r="X266" s="11"/>
      <c r="Y266" s="11"/>
      <c r="Z266" s="11"/>
    </row>
    <row r="267">
      <c r="A267" s="18"/>
      <c r="B267" s="11"/>
      <c r="C267" s="11"/>
      <c r="D267" s="11"/>
      <c r="E267" s="11"/>
      <c r="F267" s="11"/>
      <c r="G267" s="11"/>
      <c r="H267" s="11"/>
      <c r="I267" s="11"/>
      <c r="J267" s="11"/>
      <c r="K267" s="11"/>
      <c r="L267" s="15"/>
      <c r="M267" s="15"/>
      <c r="N267" s="15"/>
      <c r="O267" s="15"/>
      <c r="P267" s="15"/>
      <c r="Q267" s="11"/>
      <c r="R267" s="11"/>
      <c r="S267" s="11"/>
      <c r="T267" s="11"/>
      <c r="U267" s="15"/>
      <c r="V267" s="11"/>
      <c r="W267" s="11"/>
      <c r="X267" s="11"/>
      <c r="Y267" s="11"/>
      <c r="Z267" s="11"/>
    </row>
    <row r="268">
      <c r="A268" s="18"/>
      <c r="B268" s="11"/>
      <c r="C268" s="11"/>
      <c r="D268" s="11"/>
      <c r="E268" s="11"/>
      <c r="F268" s="11"/>
      <c r="G268" s="11"/>
      <c r="H268" s="11"/>
      <c r="I268" s="11"/>
      <c r="J268" s="11"/>
      <c r="K268" s="11"/>
      <c r="L268" s="15"/>
      <c r="M268" s="15"/>
      <c r="N268" s="15"/>
      <c r="O268" s="15"/>
      <c r="P268" s="15"/>
      <c r="Q268" s="11"/>
      <c r="R268" s="11"/>
      <c r="S268" s="11"/>
      <c r="T268" s="11"/>
      <c r="U268" s="15"/>
      <c r="V268" s="11"/>
      <c r="W268" s="11"/>
      <c r="X268" s="11"/>
      <c r="Y268" s="11"/>
      <c r="Z268" s="11"/>
    </row>
    <row r="269">
      <c r="A269" s="18"/>
      <c r="B269" s="11"/>
      <c r="C269" s="11"/>
      <c r="D269" s="11"/>
      <c r="E269" s="11"/>
      <c r="F269" s="11"/>
      <c r="G269" s="11"/>
      <c r="H269" s="11"/>
      <c r="I269" s="11"/>
      <c r="J269" s="11"/>
      <c r="K269" s="11"/>
      <c r="L269" s="15"/>
      <c r="M269" s="15"/>
      <c r="N269" s="15"/>
      <c r="O269" s="15"/>
      <c r="P269" s="15"/>
      <c r="Q269" s="11"/>
      <c r="R269" s="11"/>
      <c r="S269" s="11"/>
      <c r="T269" s="11"/>
      <c r="U269" s="15"/>
      <c r="V269" s="11"/>
      <c r="W269" s="11"/>
      <c r="X269" s="11"/>
      <c r="Y269" s="11"/>
      <c r="Z269" s="11"/>
    </row>
    <row r="270">
      <c r="A270" s="18"/>
      <c r="B270" s="11"/>
      <c r="C270" s="11"/>
      <c r="D270" s="11"/>
      <c r="E270" s="11"/>
      <c r="F270" s="11"/>
      <c r="G270" s="11"/>
      <c r="H270" s="11"/>
      <c r="I270" s="11"/>
      <c r="J270" s="11"/>
      <c r="K270" s="11"/>
      <c r="L270" s="15"/>
      <c r="M270" s="15"/>
      <c r="N270" s="15"/>
      <c r="O270" s="15"/>
      <c r="P270" s="15"/>
      <c r="Q270" s="11"/>
      <c r="R270" s="11"/>
      <c r="S270" s="11"/>
      <c r="T270" s="11"/>
      <c r="U270" s="15"/>
      <c r="V270" s="11"/>
      <c r="W270" s="11"/>
      <c r="X270" s="11"/>
      <c r="Y270" s="11"/>
      <c r="Z270" s="11"/>
    </row>
    <row r="271">
      <c r="A271" s="18"/>
      <c r="B271" s="11"/>
      <c r="C271" s="11"/>
      <c r="D271" s="11"/>
      <c r="E271" s="11"/>
      <c r="F271" s="11"/>
      <c r="G271" s="11"/>
      <c r="H271" s="11"/>
      <c r="I271" s="11"/>
      <c r="J271" s="11"/>
      <c r="K271" s="11"/>
      <c r="L271" s="15"/>
      <c r="M271" s="15"/>
      <c r="N271" s="15"/>
      <c r="O271" s="15"/>
      <c r="P271" s="15"/>
      <c r="Q271" s="11"/>
      <c r="R271" s="11"/>
      <c r="S271" s="11"/>
      <c r="T271" s="11"/>
      <c r="U271" s="15"/>
      <c r="V271" s="11"/>
      <c r="W271" s="11"/>
      <c r="X271" s="11"/>
      <c r="Y271" s="11"/>
      <c r="Z271" s="11"/>
    </row>
    <row r="272">
      <c r="A272" s="18"/>
      <c r="B272" s="11"/>
      <c r="C272" s="11"/>
      <c r="D272" s="11"/>
      <c r="E272" s="11"/>
      <c r="F272" s="11"/>
      <c r="G272" s="11"/>
      <c r="H272" s="11"/>
      <c r="I272" s="11"/>
      <c r="J272" s="11"/>
      <c r="K272" s="11"/>
      <c r="L272" s="15"/>
      <c r="M272" s="15"/>
      <c r="N272" s="15"/>
      <c r="O272" s="15"/>
      <c r="P272" s="15"/>
      <c r="Q272" s="11"/>
      <c r="R272" s="11"/>
      <c r="S272" s="11"/>
      <c r="T272" s="11"/>
      <c r="U272" s="15"/>
      <c r="V272" s="11"/>
      <c r="W272" s="11"/>
      <c r="X272" s="11"/>
      <c r="Y272" s="11"/>
      <c r="Z272" s="11"/>
    </row>
    <row r="273">
      <c r="A273" s="18"/>
      <c r="B273" s="11"/>
      <c r="C273" s="11"/>
      <c r="D273" s="11"/>
      <c r="E273" s="11"/>
      <c r="F273" s="11"/>
      <c r="G273" s="11"/>
      <c r="H273" s="11"/>
      <c r="I273" s="11"/>
      <c r="J273" s="11"/>
      <c r="K273" s="11"/>
      <c r="L273" s="15"/>
      <c r="M273" s="15"/>
      <c r="N273" s="15"/>
      <c r="O273" s="15"/>
      <c r="P273" s="15"/>
      <c r="Q273" s="11"/>
      <c r="R273" s="11"/>
      <c r="S273" s="11"/>
      <c r="T273" s="11"/>
      <c r="U273" s="15"/>
      <c r="V273" s="11"/>
      <c r="W273" s="11"/>
      <c r="X273" s="11"/>
      <c r="Y273" s="11"/>
      <c r="Z273" s="11"/>
    </row>
    <row r="274">
      <c r="A274" s="18"/>
      <c r="B274" s="11"/>
      <c r="C274" s="11"/>
      <c r="D274" s="11"/>
      <c r="E274" s="11"/>
      <c r="F274" s="11"/>
      <c r="G274" s="11"/>
      <c r="H274" s="11"/>
      <c r="I274" s="11"/>
      <c r="J274" s="11"/>
      <c r="K274" s="11"/>
      <c r="L274" s="15"/>
      <c r="M274" s="15"/>
      <c r="N274" s="15"/>
      <c r="O274" s="15"/>
      <c r="P274" s="15"/>
      <c r="Q274" s="11"/>
      <c r="R274" s="11"/>
      <c r="S274" s="11"/>
      <c r="T274" s="11"/>
      <c r="U274" s="15"/>
      <c r="V274" s="11"/>
      <c r="W274" s="11"/>
      <c r="X274" s="11"/>
      <c r="Y274" s="11"/>
      <c r="Z274" s="11"/>
    </row>
    <row r="275">
      <c r="A275" s="18"/>
      <c r="B275" s="11"/>
      <c r="C275" s="11"/>
      <c r="D275" s="11"/>
      <c r="E275" s="11"/>
      <c r="F275" s="11"/>
      <c r="G275" s="11"/>
      <c r="H275" s="11"/>
      <c r="I275" s="11"/>
      <c r="J275" s="11"/>
      <c r="K275" s="11"/>
      <c r="L275" s="15"/>
      <c r="M275" s="15"/>
      <c r="N275" s="15"/>
      <c r="O275" s="15"/>
      <c r="P275" s="15"/>
      <c r="Q275" s="11"/>
      <c r="R275" s="11"/>
      <c r="S275" s="11"/>
      <c r="T275" s="11"/>
      <c r="U275" s="15"/>
      <c r="V275" s="11"/>
      <c r="W275" s="11"/>
      <c r="X275" s="11"/>
      <c r="Y275" s="11"/>
      <c r="Z275" s="11"/>
    </row>
    <row r="276">
      <c r="A276" s="18"/>
      <c r="B276" s="11"/>
      <c r="C276" s="11"/>
      <c r="D276" s="11"/>
      <c r="E276" s="11"/>
      <c r="F276" s="11"/>
      <c r="G276" s="11"/>
      <c r="H276" s="11"/>
      <c r="I276" s="11"/>
      <c r="J276" s="11"/>
      <c r="K276" s="11"/>
      <c r="L276" s="15"/>
      <c r="M276" s="15"/>
      <c r="N276" s="15"/>
      <c r="O276" s="15"/>
      <c r="P276" s="15"/>
      <c r="Q276" s="11"/>
      <c r="R276" s="11"/>
      <c r="S276" s="11"/>
      <c r="T276" s="11"/>
      <c r="U276" s="15"/>
      <c r="V276" s="11"/>
      <c r="W276" s="11"/>
      <c r="X276" s="11"/>
      <c r="Y276" s="11"/>
      <c r="Z276" s="11"/>
    </row>
    <row r="277">
      <c r="A277" s="18"/>
      <c r="B277" s="11"/>
      <c r="C277" s="11"/>
      <c r="D277" s="11"/>
      <c r="E277" s="11"/>
      <c r="F277" s="11"/>
      <c r="G277" s="11"/>
      <c r="H277" s="11"/>
      <c r="I277" s="11"/>
      <c r="J277" s="11"/>
      <c r="K277" s="11"/>
      <c r="L277" s="15"/>
      <c r="M277" s="15"/>
      <c r="N277" s="15"/>
      <c r="O277" s="15"/>
      <c r="P277" s="15"/>
      <c r="Q277" s="11"/>
      <c r="R277" s="11"/>
      <c r="S277" s="11"/>
      <c r="T277" s="11"/>
      <c r="U277" s="15"/>
      <c r="V277" s="11"/>
      <c r="W277" s="11"/>
      <c r="X277" s="11"/>
      <c r="Y277" s="11"/>
      <c r="Z277" s="11"/>
    </row>
    <row r="278">
      <c r="A278" s="18"/>
      <c r="B278" s="11"/>
      <c r="C278" s="11"/>
      <c r="D278" s="11"/>
      <c r="E278" s="11"/>
      <c r="F278" s="11"/>
      <c r="G278" s="11"/>
      <c r="H278" s="11"/>
      <c r="I278" s="11"/>
      <c r="J278" s="11"/>
      <c r="K278" s="11"/>
      <c r="L278" s="15"/>
      <c r="M278" s="15"/>
      <c r="N278" s="15"/>
      <c r="O278" s="15"/>
      <c r="P278" s="15"/>
      <c r="Q278" s="11"/>
      <c r="R278" s="11"/>
      <c r="S278" s="11"/>
      <c r="T278" s="11"/>
      <c r="U278" s="15"/>
      <c r="V278" s="11"/>
      <c r="W278" s="11"/>
      <c r="X278" s="11"/>
      <c r="Y278" s="11"/>
      <c r="Z278" s="11"/>
    </row>
    <row r="279">
      <c r="A279" s="18"/>
      <c r="B279" s="11"/>
      <c r="C279" s="11"/>
      <c r="D279" s="11"/>
      <c r="E279" s="11"/>
      <c r="F279" s="11"/>
      <c r="G279" s="11"/>
      <c r="H279" s="11"/>
      <c r="I279" s="11"/>
      <c r="J279" s="11"/>
      <c r="K279" s="11"/>
      <c r="L279" s="15"/>
      <c r="M279" s="15"/>
      <c r="N279" s="15"/>
      <c r="O279" s="15"/>
      <c r="P279" s="15"/>
      <c r="Q279" s="11"/>
      <c r="R279" s="11"/>
      <c r="S279" s="11"/>
      <c r="T279" s="11"/>
      <c r="U279" s="15"/>
      <c r="V279" s="11"/>
      <c r="W279" s="11"/>
      <c r="X279" s="11"/>
      <c r="Y279" s="11"/>
      <c r="Z279" s="11"/>
    </row>
    <row r="280">
      <c r="A280" s="18"/>
      <c r="B280" s="11"/>
      <c r="C280" s="11"/>
      <c r="D280" s="11"/>
      <c r="E280" s="11"/>
      <c r="F280" s="11"/>
      <c r="G280" s="11"/>
      <c r="H280" s="11"/>
      <c r="I280" s="11"/>
      <c r="J280" s="11"/>
      <c r="K280" s="11"/>
      <c r="L280" s="15"/>
      <c r="M280" s="15"/>
      <c r="N280" s="15"/>
      <c r="O280" s="15"/>
      <c r="P280" s="15"/>
      <c r="Q280" s="11"/>
      <c r="R280" s="11"/>
      <c r="S280" s="11"/>
      <c r="T280" s="11"/>
      <c r="U280" s="15"/>
      <c r="V280" s="11"/>
      <c r="W280" s="11"/>
      <c r="X280" s="11"/>
      <c r="Y280" s="11"/>
      <c r="Z280" s="11"/>
    </row>
    <row r="281">
      <c r="A281" s="18"/>
      <c r="B281" s="11"/>
      <c r="C281" s="11"/>
      <c r="D281" s="11"/>
      <c r="E281" s="11"/>
      <c r="F281" s="11"/>
      <c r="G281" s="11"/>
      <c r="H281" s="11"/>
      <c r="I281" s="11"/>
      <c r="J281" s="11"/>
      <c r="K281" s="11"/>
      <c r="L281" s="15"/>
      <c r="M281" s="15"/>
      <c r="N281" s="15"/>
      <c r="O281" s="15"/>
      <c r="P281" s="15"/>
      <c r="Q281" s="11"/>
      <c r="R281" s="11"/>
      <c r="S281" s="11"/>
      <c r="T281" s="11"/>
      <c r="U281" s="15"/>
      <c r="V281" s="11"/>
      <c r="W281" s="11"/>
      <c r="X281" s="11"/>
      <c r="Y281" s="11"/>
      <c r="Z281" s="11"/>
    </row>
    <row r="282">
      <c r="A282" s="18"/>
      <c r="B282" s="11"/>
      <c r="C282" s="11"/>
      <c r="D282" s="11"/>
      <c r="E282" s="11"/>
      <c r="F282" s="11"/>
      <c r="G282" s="11"/>
      <c r="H282" s="11"/>
      <c r="I282" s="11"/>
      <c r="J282" s="11"/>
      <c r="K282" s="11"/>
      <c r="L282" s="15"/>
      <c r="M282" s="15"/>
      <c r="N282" s="15"/>
      <c r="O282" s="15"/>
      <c r="P282" s="15"/>
      <c r="Q282" s="11"/>
      <c r="R282" s="11"/>
      <c r="S282" s="11"/>
      <c r="T282" s="11"/>
      <c r="U282" s="15"/>
      <c r="V282" s="11"/>
      <c r="W282" s="11"/>
      <c r="X282" s="11"/>
      <c r="Y282" s="11"/>
      <c r="Z282" s="11"/>
    </row>
    <row r="283">
      <c r="A283" s="18"/>
      <c r="B283" s="11"/>
      <c r="C283" s="11"/>
      <c r="D283" s="11"/>
      <c r="E283" s="11"/>
      <c r="F283" s="11"/>
      <c r="G283" s="11"/>
      <c r="H283" s="11"/>
      <c r="I283" s="11"/>
      <c r="J283" s="11"/>
      <c r="K283" s="11"/>
      <c r="L283" s="15"/>
      <c r="M283" s="15"/>
      <c r="N283" s="15"/>
      <c r="O283" s="15"/>
      <c r="P283" s="15"/>
      <c r="Q283" s="11"/>
      <c r="R283" s="11"/>
      <c r="S283" s="11"/>
      <c r="T283" s="11"/>
      <c r="U283" s="15"/>
      <c r="V283" s="11"/>
      <c r="W283" s="11"/>
      <c r="X283" s="11"/>
      <c r="Y283" s="11"/>
      <c r="Z283" s="11"/>
    </row>
    <row r="284">
      <c r="A284" s="18"/>
      <c r="B284" s="11"/>
      <c r="C284" s="11"/>
      <c r="D284" s="11"/>
      <c r="E284" s="11"/>
      <c r="F284" s="11"/>
      <c r="G284" s="11"/>
      <c r="H284" s="11"/>
      <c r="I284" s="11"/>
      <c r="J284" s="11"/>
      <c r="K284" s="11"/>
      <c r="L284" s="15"/>
      <c r="M284" s="15"/>
      <c r="N284" s="15"/>
      <c r="O284" s="15"/>
      <c r="P284" s="15"/>
      <c r="Q284" s="11"/>
      <c r="R284" s="11"/>
      <c r="S284" s="11"/>
      <c r="T284" s="11"/>
      <c r="U284" s="15"/>
      <c r="V284" s="11"/>
      <c r="W284" s="11"/>
      <c r="X284" s="11"/>
      <c r="Y284" s="11"/>
      <c r="Z284" s="11"/>
    </row>
    <row r="285">
      <c r="A285" s="18"/>
      <c r="B285" s="11"/>
      <c r="C285" s="11"/>
      <c r="D285" s="11"/>
      <c r="E285" s="11"/>
      <c r="F285" s="11"/>
      <c r="G285" s="11"/>
      <c r="H285" s="11"/>
      <c r="I285" s="11"/>
      <c r="J285" s="11"/>
      <c r="K285" s="11"/>
      <c r="L285" s="15"/>
      <c r="M285" s="15"/>
      <c r="N285" s="15"/>
      <c r="O285" s="15"/>
      <c r="P285" s="15"/>
      <c r="Q285" s="11"/>
      <c r="R285" s="11"/>
      <c r="S285" s="11"/>
      <c r="T285" s="11"/>
      <c r="U285" s="15"/>
      <c r="V285" s="11"/>
      <c r="W285" s="11"/>
      <c r="X285" s="11"/>
      <c r="Y285" s="11"/>
      <c r="Z285" s="11"/>
    </row>
    <row r="286">
      <c r="A286" s="18"/>
      <c r="B286" s="11"/>
      <c r="C286" s="11"/>
      <c r="D286" s="11"/>
      <c r="E286" s="11"/>
      <c r="F286" s="11"/>
      <c r="G286" s="11"/>
      <c r="H286" s="11"/>
      <c r="I286" s="11"/>
      <c r="J286" s="11"/>
      <c r="K286" s="11"/>
      <c r="L286" s="15"/>
      <c r="M286" s="15"/>
      <c r="N286" s="15"/>
      <c r="O286" s="15"/>
      <c r="P286" s="15"/>
      <c r="Q286" s="11"/>
      <c r="R286" s="11"/>
      <c r="S286" s="11"/>
      <c r="T286" s="11"/>
      <c r="U286" s="15"/>
      <c r="V286" s="11"/>
      <c r="W286" s="11"/>
      <c r="X286" s="11"/>
      <c r="Y286" s="11"/>
      <c r="Z286" s="11"/>
    </row>
    <row r="287">
      <c r="A287" s="18"/>
      <c r="B287" s="11"/>
      <c r="C287" s="11"/>
      <c r="D287" s="11"/>
      <c r="E287" s="11"/>
      <c r="F287" s="11"/>
      <c r="G287" s="11"/>
      <c r="H287" s="11"/>
      <c r="I287" s="11"/>
      <c r="J287" s="11"/>
      <c r="K287" s="11"/>
      <c r="L287" s="15"/>
      <c r="M287" s="15"/>
      <c r="N287" s="15"/>
      <c r="O287" s="15"/>
      <c r="P287" s="15"/>
      <c r="Q287" s="11"/>
      <c r="R287" s="11"/>
      <c r="S287" s="11"/>
      <c r="T287" s="11"/>
      <c r="U287" s="15"/>
      <c r="V287" s="11"/>
      <c r="W287" s="11"/>
      <c r="X287" s="11"/>
      <c r="Y287" s="11"/>
      <c r="Z287" s="11"/>
    </row>
    <row r="288">
      <c r="A288" s="18"/>
      <c r="B288" s="11"/>
      <c r="C288" s="11"/>
      <c r="D288" s="11"/>
      <c r="E288" s="11"/>
      <c r="F288" s="11"/>
      <c r="G288" s="11"/>
      <c r="H288" s="11"/>
      <c r="I288" s="11"/>
      <c r="J288" s="11"/>
      <c r="K288" s="11"/>
      <c r="L288" s="15"/>
      <c r="M288" s="15"/>
      <c r="N288" s="15"/>
      <c r="O288" s="15"/>
      <c r="P288" s="15"/>
      <c r="Q288" s="11"/>
      <c r="R288" s="11"/>
      <c r="S288" s="11"/>
      <c r="T288" s="11"/>
      <c r="U288" s="15"/>
      <c r="V288" s="11"/>
      <c r="W288" s="11"/>
      <c r="X288" s="11"/>
      <c r="Y288" s="11"/>
      <c r="Z288" s="11"/>
    </row>
    <row r="289">
      <c r="A289" s="18"/>
      <c r="B289" s="11"/>
      <c r="C289" s="11"/>
      <c r="D289" s="11"/>
      <c r="E289" s="11"/>
      <c r="F289" s="11"/>
      <c r="G289" s="11"/>
      <c r="H289" s="11"/>
      <c r="I289" s="11"/>
      <c r="J289" s="11"/>
      <c r="K289" s="11"/>
      <c r="L289" s="15"/>
      <c r="M289" s="15"/>
      <c r="N289" s="15"/>
      <c r="O289" s="15"/>
      <c r="P289" s="15"/>
      <c r="Q289" s="11"/>
      <c r="R289" s="11"/>
      <c r="S289" s="11"/>
      <c r="T289" s="11"/>
      <c r="U289" s="15"/>
      <c r="V289" s="11"/>
      <c r="W289" s="11"/>
      <c r="X289" s="11"/>
      <c r="Y289" s="11"/>
      <c r="Z289" s="11"/>
    </row>
    <row r="290">
      <c r="A290" s="18"/>
      <c r="B290" s="11"/>
      <c r="C290" s="11"/>
      <c r="D290" s="11"/>
      <c r="E290" s="11"/>
      <c r="F290" s="11"/>
      <c r="G290" s="11"/>
      <c r="H290" s="11"/>
      <c r="I290" s="11"/>
      <c r="J290" s="11"/>
      <c r="K290" s="11"/>
      <c r="L290" s="15"/>
      <c r="M290" s="15"/>
      <c r="N290" s="15"/>
      <c r="O290" s="15"/>
      <c r="P290" s="15"/>
      <c r="Q290" s="11"/>
      <c r="R290" s="11"/>
      <c r="S290" s="11"/>
      <c r="T290" s="11"/>
      <c r="U290" s="15"/>
      <c r="V290" s="11"/>
      <c r="W290" s="11"/>
      <c r="X290" s="11"/>
      <c r="Y290" s="11"/>
      <c r="Z290" s="11"/>
    </row>
    <row r="291">
      <c r="A291" s="18"/>
      <c r="B291" s="11"/>
      <c r="C291" s="11"/>
      <c r="D291" s="11"/>
      <c r="E291" s="11"/>
      <c r="F291" s="11"/>
      <c r="G291" s="11"/>
      <c r="H291" s="11"/>
      <c r="I291" s="11"/>
      <c r="J291" s="11"/>
      <c r="K291" s="11"/>
      <c r="L291" s="15"/>
      <c r="M291" s="15"/>
      <c r="N291" s="15"/>
      <c r="O291" s="15"/>
      <c r="P291" s="15"/>
      <c r="Q291" s="11"/>
      <c r="R291" s="11"/>
      <c r="S291" s="11"/>
      <c r="T291" s="11"/>
      <c r="U291" s="15"/>
      <c r="V291" s="11"/>
      <c r="W291" s="11"/>
      <c r="X291" s="11"/>
      <c r="Y291" s="11"/>
      <c r="Z291" s="11"/>
    </row>
    <row r="292">
      <c r="A292" s="18"/>
      <c r="B292" s="11"/>
      <c r="C292" s="11"/>
      <c r="D292" s="11"/>
      <c r="E292" s="11"/>
      <c r="F292" s="11"/>
      <c r="G292" s="11"/>
      <c r="H292" s="11"/>
      <c r="I292" s="11"/>
      <c r="J292" s="11"/>
      <c r="K292" s="11"/>
      <c r="L292" s="15"/>
      <c r="M292" s="15"/>
      <c r="N292" s="15"/>
      <c r="O292" s="15"/>
      <c r="P292" s="15"/>
      <c r="Q292" s="11"/>
      <c r="R292" s="11"/>
      <c r="S292" s="11"/>
      <c r="T292" s="11"/>
      <c r="U292" s="15"/>
      <c r="V292" s="11"/>
      <c r="W292" s="11"/>
      <c r="X292" s="11"/>
      <c r="Y292" s="11"/>
      <c r="Z292" s="11"/>
    </row>
    <row r="293">
      <c r="A293" s="18"/>
      <c r="B293" s="11"/>
      <c r="C293" s="11"/>
      <c r="D293" s="11"/>
      <c r="E293" s="11"/>
      <c r="F293" s="11"/>
      <c r="G293" s="11"/>
      <c r="H293" s="11"/>
      <c r="I293" s="11"/>
      <c r="J293" s="11"/>
      <c r="K293" s="11"/>
      <c r="L293" s="15"/>
      <c r="M293" s="15"/>
      <c r="N293" s="15"/>
      <c r="O293" s="15"/>
      <c r="P293" s="15"/>
      <c r="Q293" s="11"/>
      <c r="R293" s="11"/>
      <c r="S293" s="11"/>
      <c r="T293" s="11"/>
      <c r="U293" s="15"/>
      <c r="V293" s="11"/>
      <c r="W293" s="11"/>
      <c r="X293" s="11"/>
      <c r="Y293" s="11"/>
      <c r="Z293" s="11"/>
    </row>
    <row r="294">
      <c r="A294" s="18"/>
      <c r="B294" s="11"/>
      <c r="C294" s="11"/>
      <c r="D294" s="11"/>
      <c r="E294" s="11"/>
      <c r="F294" s="11"/>
      <c r="G294" s="11"/>
      <c r="H294" s="11"/>
      <c r="I294" s="11"/>
      <c r="J294" s="11"/>
      <c r="K294" s="11"/>
      <c r="L294" s="15"/>
      <c r="M294" s="15"/>
      <c r="N294" s="15"/>
      <c r="O294" s="15"/>
      <c r="P294" s="15"/>
      <c r="Q294" s="11"/>
      <c r="R294" s="11"/>
      <c r="S294" s="11"/>
      <c r="T294" s="11"/>
      <c r="U294" s="15"/>
      <c r="V294" s="11"/>
      <c r="W294" s="11"/>
      <c r="X294" s="11"/>
      <c r="Y294" s="11"/>
      <c r="Z294" s="11"/>
    </row>
    <row r="295">
      <c r="A295" s="18"/>
      <c r="B295" s="11"/>
      <c r="C295" s="11"/>
      <c r="D295" s="11"/>
      <c r="E295" s="11"/>
      <c r="F295" s="11"/>
      <c r="G295" s="11"/>
      <c r="H295" s="11"/>
      <c r="I295" s="11"/>
      <c r="J295" s="11"/>
      <c r="K295" s="11"/>
      <c r="L295" s="15"/>
      <c r="M295" s="15"/>
      <c r="N295" s="15"/>
      <c r="O295" s="15"/>
      <c r="P295" s="15"/>
      <c r="Q295" s="11"/>
      <c r="R295" s="11"/>
      <c r="S295" s="11"/>
      <c r="T295" s="11"/>
      <c r="U295" s="15"/>
      <c r="V295" s="11"/>
      <c r="W295" s="11"/>
      <c r="X295" s="11"/>
      <c r="Y295" s="11"/>
      <c r="Z295" s="11"/>
    </row>
    <row r="296">
      <c r="A296" s="18"/>
      <c r="B296" s="11"/>
      <c r="C296" s="11"/>
      <c r="D296" s="11"/>
      <c r="E296" s="11"/>
      <c r="F296" s="11"/>
      <c r="G296" s="11"/>
      <c r="H296" s="11"/>
      <c r="I296" s="11"/>
      <c r="J296" s="11"/>
      <c r="K296" s="11"/>
      <c r="L296" s="15"/>
      <c r="M296" s="15"/>
      <c r="N296" s="15"/>
      <c r="O296" s="15"/>
      <c r="P296" s="15"/>
      <c r="Q296" s="11"/>
      <c r="R296" s="11"/>
      <c r="S296" s="11"/>
      <c r="T296" s="11"/>
      <c r="U296" s="15"/>
      <c r="V296" s="11"/>
      <c r="W296" s="11"/>
      <c r="X296" s="11"/>
      <c r="Y296" s="11"/>
      <c r="Z296" s="11"/>
    </row>
    <row r="297">
      <c r="A297" s="18"/>
      <c r="B297" s="11"/>
      <c r="C297" s="11"/>
      <c r="D297" s="11"/>
      <c r="E297" s="11"/>
      <c r="F297" s="11"/>
      <c r="G297" s="11"/>
      <c r="H297" s="11"/>
      <c r="I297" s="11"/>
      <c r="J297" s="11"/>
      <c r="K297" s="11"/>
      <c r="L297" s="15"/>
      <c r="M297" s="15"/>
      <c r="N297" s="15"/>
      <c r="O297" s="15"/>
      <c r="P297" s="15"/>
      <c r="Q297" s="11"/>
      <c r="R297" s="11"/>
      <c r="S297" s="11"/>
      <c r="T297" s="11"/>
      <c r="U297" s="15"/>
      <c r="V297" s="11"/>
      <c r="W297" s="11"/>
      <c r="X297" s="11"/>
      <c r="Y297" s="11"/>
      <c r="Z297" s="11"/>
    </row>
    <row r="298">
      <c r="A298" s="18"/>
      <c r="B298" s="11"/>
      <c r="C298" s="11"/>
      <c r="D298" s="11"/>
      <c r="E298" s="11"/>
      <c r="F298" s="11"/>
      <c r="G298" s="11"/>
      <c r="H298" s="11"/>
      <c r="I298" s="11"/>
      <c r="J298" s="11"/>
      <c r="K298" s="11"/>
      <c r="L298" s="15"/>
      <c r="M298" s="15"/>
      <c r="N298" s="15"/>
      <c r="O298" s="15"/>
      <c r="P298" s="15"/>
      <c r="Q298" s="11"/>
      <c r="R298" s="11"/>
      <c r="S298" s="11"/>
      <c r="T298" s="11"/>
      <c r="U298" s="15"/>
      <c r="V298" s="11"/>
      <c r="W298" s="11"/>
      <c r="X298" s="11"/>
      <c r="Y298" s="11"/>
      <c r="Z298" s="11"/>
    </row>
    <row r="299">
      <c r="A299" s="18"/>
      <c r="B299" s="11"/>
      <c r="C299" s="11"/>
      <c r="D299" s="11"/>
      <c r="E299" s="11"/>
      <c r="F299" s="11"/>
      <c r="G299" s="11"/>
      <c r="H299" s="11"/>
      <c r="I299" s="11"/>
      <c r="J299" s="11"/>
      <c r="K299" s="11"/>
      <c r="L299" s="15"/>
      <c r="M299" s="15"/>
      <c r="N299" s="15"/>
      <c r="O299" s="15"/>
      <c r="P299" s="15"/>
      <c r="Q299" s="11"/>
      <c r="R299" s="11"/>
      <c r="S299" s="11"/>
      <c r="T299" s="11"/>
      <c r="U299" s="15"/>
      <c r="V299" s="11"/>
      <c r="W299" s="11"/>
      <c r="X299" s="11"/>
      <c r="Y299" s="11"/>
      <c r="Z299" s="11"/>
    </row>
    <row r="300">
      <c r="A300" s="18"/>
      <c r="B300" s="11"/>
      <c r="C300" s="11"/>
      <c r="D300" s="11"/>
      <c r="E300" s="11"/>
      <c r="F300" s="11"/>
      <c r="G300" s="11"/>
      <c r="H300" s="11"/>
      <c r="I300" s="11"/>
      <c r="J300" s="11"/>
      <c r="K300" s="11"/>
      <c r="L300" s="15"/>
      <c r="M300" s="15"/>
      <c r="N300" s="15"/>
      <c r="O300" s="15"/>
      <c r="P300" s="15"/>
      <c r="Q300" s="11"/>
      <c r="R300" s="11"/>
      <c r="S300" s="11"/>
      <c r="T300" s="11"/>
      <c r="U300" s="15"/>
      <c r="V300" s="11"/>
      <c r="W300" s="11"/>
      <c r="X300" s="11"/>
      <c r="Y300" s="11"/>
      <c r="Z300" s="11"/>
    </row>
    <row r="301">
      <c r="A301" s="18"/>
      <c r="B301" s="11"/>
      <c r="C301" s="11"/>
      <c r="D301" s="11"/>
      <c r="E301" s="11"/>
      <c r="F301" s="11"/>
      <c r="G301" s="11"/>
      <c r="H301" s="11"/>
      <c r="I301" s="11"/>
      <c r="J301" s="11"/>
      <c r="K301" s="11"/>
      <c r="L301" s="15"/>
      <c r="M301" s="15"/>
      <c r="N301" s="15"/>
      <c r="O301" s="15"/>
      <c r="P301" s="15"/>
      <c r="Q301" s="11"/>
      <c r="R301" s="11"/>
      <c r="S301" s="11"/>
      <c r="T301" s="11"/>
      <c r="U301" s="15"/>
      <c r="V301" s="11"/>
      <c r="W301" s="11"/>
      <c r="X301" s="11"/>
      <c r="Y301" s="11"/>
      <c r="Z301" s="11"/>
    </row>
    <row r="302">
      <c r="A302" s="18"/>
      <c r="B302" s="11"/>
      <c r="C302" s="11"/>
      <c r="D302" s="11"/>
      <c r="E302" s="11"/>
      <c r="F302" s="11"/>
      <c r="G302" s="11"/>
      <c r="H302" s="11"/>
      <c r="I302" s="11"/>
      <c r="J302" s="11"/>
      <c r="K302" s="11"/>
      <c r="L302" s="15"/>
      <c r="M302" s="15"/>
      <c r="N302" s="15"/>
      <c r="O302" s="15"/>
      <c r="P302" s="15"/>
      <c r="Q302" s="11"/>
      <c r="R302" s="11"/>
      <c r="S302" s="11"/>
      <c r="T302" s="11"/>
      <c r="U302" s="15"/>
      <c r="V302" s="11"/>
      <c r="W302" s="11"/>
      <c r="X302" s="11"/>
      <c r="Y302" s="11"/>
      <c r="Z302" s="11"/>
    </row>
    <row r="303">
      <c r="A303" s="18"/>
      <c r="B303" s="11"/>
      <c r="C303" s="11"/>
      <c r="D303" s="11"/>
      <c r="E303" s="11"/>
      <c r="F303" s="11"/>
      <c r="G303" s="11"/>
      <c r="H303" s="11"/>
      <c r="I303" s="11"/>
      <c r="J303" s="11"/>
      <c r="K303" s="11"/>
      <c r="L303" s="15"/>
      <c r="M303" s="15"/>
      <c r="N303" s="15"/>
      <c r="O303" s="15"/>
      <c r="P303" s="15"/>
      <c r="Q303" s="11"/>
      <c r="R303" s="11"/>
      <c r="S303" s="11"/>
      <c r="T303" s="11"/>
      <c r="U303" s="15"/>
      <c r="V303" s="11"/>
      <c r="W303" s="11"/>
      <c r="X303" s="11"/>
      <c r="Y303" s="11"/>
      <c r="Z303" s="11"/>
    </row>
    <row r="304">
      <c r="A304" s="18"/>
      <c r="B304" s="11"/>
      <c r="C304" s="11"/>
      <c r="D304" s="11"/>
      <c r="E304" s="11"/>
      <c r="F304" s="11"/>
      <c r="G304" s="11"/>
      <c r="H304" s="11"/>
      <c r="I304" s="11"/>
      <c r="J304" s="11"/>
      <c r="K304" s="11"/>
      <c r="L304" s="15"/>
      <c r="M304" s="15"/>
      <c r="N304" s="15"/>
      <c r="O304" s="15"/>
      <c r="P304" s="15"/>
      <c r="Q304" s="11"/>
      <c r="R304" s="11"/>
      <c r="S304" s="11"/>
      <c r="T304" s="11"/>
      <c r="U304" s="15"/>
      <c r="V304" s="11"/>
      <c r="W304" s="11"/>
      <c r="X304" s="11"/>
      <c r="Y304" s="11"/>
      <c r="Z304" s="11"/>
    </row>
    <row r="305">
      <c r="A305" s="18"/>
      <c r="B305" s="11"/>
      <c r="C305" s="11"/>
      <c r="D305" s="11"/>
      <c r="E305" s="11"/>
      <c r="F305" s="11"/>
      <c r="G305" s="11"/>
      <c r="H305" s="11"/>
      <c r="I305" s="11"/>
      <c r="J305" s="11"/>
      <c r="K305" s="11"/>
      <c r="L305" s="15"/>
      <c r="M305" s="15"/>
      <c r="N305" s="15"/>
      <c r="O305" s="15"/>
      <c r="P305" s="15"/>
      <c r="Q305" s="11"/>
      <c r="R305" s="11"/>
      <c r="S305" s="11"/>
      <c r="T305" s="11"/>
      <c r="U305" s="15"/>
      <c r="V305" s="11"/>
      <c r="W305" s="11"/>
      <c r="X305" s="11"/>
      <c r="Y305" s="11"/>
      <c r="Z305" s="11"/>
    </row>
    <row r="306">
      <c r="A306" s="18"/>
      <c r="B306" s="11"/>
      <c r="C306" s="11"/>
      <c r="D306" s="11"/>
      <c r="E306" s="11"/>
      <c r="F306" s="11"/>
      <c r="G306" s="11"/>
      <c r="H306" s="11"/>
      <c r="I306" s="11"/>
      <c r="J306" s="11"/>
      <c r="K306" s="11"/>
      <c r="L306" s="15"/>
      <c r="M306" s="15"/>
      <c r="N306" s="15"/>
      <c r="O306" s="15"/>
      <c r="P306" s="15"/>
      <c r="Q306" s="11"/>
      <c r="R306" s="11"/>
      <c r="S306" s="11"/>
      <c r="T306" s="11"/>
      <c r="U306" s="15"/>
      <c r="V306" s="11"/>
      <c r="W306" s="11"/>
      <c r="X306" s="11"/>
      <c r="Y306" s="11"/>
      <c r="Z306" s="11"/>
    </row>
    <row r="307">
      <c r="A307" s="18"/>
      <c r="B307" s="11"/>
      <c r="C307" s="11"/>
      <c r="D307" s="11"/>
      <c r="E307" s="11"/>
      <c r="F307" s="11"/>
      <c r="G307" s="11"/>
      <c r="H307" s="11"/>
      <c r="I307" s="11"/>
      <c r="J307" s="11"/>
      <c r="K307" s="11"/>
      <c r="L307" s="15"/>
      <c r="M307" s="15"/>
      <c r="N307" s="15"/>
      <c r="O307" s="15"/>
      <c r="P307" s="15"/>
      <c r="Q307" s="11"/>
      <c r="R307" s="11"/>
      <c r="S307" s="11"/>
      <c r="T307" s="11"/>
      <c r="U307" s="15"/>
      <c r="V307" s="11"/>
      <c r="W307" s="11"/>
      <c r="X307" s="11"/>
      <c r="Y307" s="11"/>
      <c r="Z307" s="11"/>
    </row>
    <row r="308">
      <c r="A308" s="18"/>
      <c r="B308" s="11"/>
      <c r="C308" s="11"/>
      <c r="D308" s="11"/>
      <c r="E308" s="11"/>
      <c r="F308" s="11"/>
      <c r="G308" s="11"/>
      <c r="H308" s="11"/>
      <c r="I308" s="11"/>
      <c r="J308" s="11"/>
      <c r="K308" s="11"/>
      <c r="L308" s="15"/>
      <c r="M308" s="15"/>
      <c r="N308" s="15"/>
      <c r="O308" s="15"/>
      <c r="P308" s="15"/>
      <c r="Q308" s="11"/>
      <c r="R308" s="11"/>
      <c r="S308" s="11"/>
      <c r="T308" s="11"/>
      <c r="U308" s="15"/>
      <c r="V308" s="11"/>
      <c r="W308" s="11"/>
      <c r="X308" s="11"/>
      <c r="Y308" s="11"/>
      <c r="Z308" s="11"/>
    </row>
    <row r="309">
      <c r="A309" s="18"/>
      <c r="B309" s="11"/>
      <c r="C309" s="11"/>
      <c r="D309" s="11"/>
      <c r="E309" s="11"/>
      <c r="F309" s="11"/>
      <c r="G309" s="11"/>
      <c r="H309" s="11"/>
      <c r="I309" s="11"/>
      <c r="J309" s="11"/>
      <c r="K309" s="11"/>
      <c r="L309" s="15"/>
      <c r="M309" s="15"/>
      <c r="N309" s="15"/>
      <c r="O309" s="15"/>
      <c r="P309" s="15"/>
      <c r="Q309" s="11"/>
      <c r="R309" s="11"/>
      <c r="S309" s="11"/>
      <c r="T309" s="11"/>
      <c r="U309" s="15"/>
      <c r="V309" s="11"/>
      <c r="W309" s="11"/>
      <c r="X309" s="11"/>
      <c r="Y309" s="11"/>
      <c r="Z309" s="11"/>
    </row>
    <row r="310">
      <c r="A310" s="18"/>
      <c r="B310" s="11"/>
      <c r="C310" s="11"/>
      <c r="D310" s="11"/>
      <c r="E310" s="11"/>
      <c r="F310" s="11"/>
      <c r="G310" s="11"/>
      <c r="H310" s="11"/>
      <c r="I310" s="11"/>
      <c r="J310" s="11"/>
      <c r="K310" s="11"/>
      <c r="L310" s="15"/>
      <c r="M310" s="15"/>
      <c r="N310" s="15"/>
      <c r="O310" s="15"/>
      <c r="P310" s="15"/>
      <c r="Q310" s="11"/>
      <c r="R310" s="11"/>
      <c r="S310" s="11"/>
      <c r="T310" s="11"/>
      <c r="U310" s="15"/>
      <c r="V310" s="11"/>
      <c r="W310" s="11"/>
      <c r="X310" s="11"/>
      <c r="Y310" s="11"/>
      <c r="Z310" s="11"/>
    </row>
    <row r="311">
      <c r="A311" s="18"/>
      <c r="B311" s="11"/>
      <c r="C311" s="11"/>
      <c r="D311" s="11"/>
      <c r="E311" s="11"/>
      <c r="F311" s="11"/>
      <c r="G311" s="11"/>
      <c r="H311" s="11"/>
      <c r="I311" s="11"/>
      <c r="J311" s="11"/>
      <c r="K311" s="11"/>
      <c r="L311" s="15"/>
      <c r="M311" s="15"/>
      <c r="N311" s="15"/>
      <c r="O311" s="15"/>
      <c r="P311" s="15"/>
      <c r="Q311" s="11"/>
      <c r="R311" s="11"/>
      <c r="S311" s="11"/>
      <c r="T311" s="11"/>
      <c r="U311" s="15"/>
      <c r="V311" s="11"/>
      <c r="W311" s="11"/>
      <c r="X311" s="11"/>
      <c r="Y311" s="11"/>
      <c r="Z311" s="11"/>
    </row>
    <row r="312">
      <c r="A312" s="18"/>
      <c r="B312" s="11"/>
      <c r="C312" s="11"/>
      <c r="D312" s="11"/>
      <c r="E312" s="11"/>
      <c r="F312" s="11"/>
      <c r="G312" s="11"/>
      <c r="H312" s="11"/>
      <c r="I312" s="11"/>
      <c r="J312" s="11"/>
      <c r="K312" s="11"/>
      <c r="L312" s="15"/>
      <c r="M312" s="15"/>
      <c r="N312" s="15"/>
      <c r="O312" s="15"/>
      <c r="P312" s="15"/>
      <c r="Q312" s="11"/>
      <c r="R312" s="11"/>
      <c r="S312" s="11"/>
      <c r="T312" s="11"/>
      <c r="U312" s="15"/>
      <c r="V312" s="11"/>
      <c r="W312" s="11"/>
      <c r="X312" s="11"/>
      <c r="Y312" s="11"/>
      <c r="Z312" s="11"/>
    </row>
    <row r="313">
      <c r="A313" s="18"/>
      <c r="B313" s="11"/>
      <c r="C313" s="11"/>
      <c r="D313" s="11"/>
      <c r="E313" s="11"/>
      <c r="F313" s="11"/>
      <c r="G313" s="11"/>
      <c r="H313" s="11"/>
      <c r="I313" s="11"/>
      <c r="J313" s="11"/>
      <c r="K313" s="11"/>
      <c r="L313" s="15"/>
      <c r="M313" s="15"/>
      <c r="N313" s="15"/>
      <c r="O313" s="15"/>
      <c r="P313" s="15"/>
      <c r="Q313" s="11"/>
      <c r="R313" s="11"/>
      <c r="S313" s="11"/>
      <c r="T313" s="11"/>
      <c r="U313" s="15"/>
      <c r="V313" s="11"/>
      <c r="W313" s="11"/>
      <c r="X313" s="11"/>
      <c r="Y313" s="11"/>
      <c r="Z313" s="11"/>
    </row>
    <row r="314">
      <c r="A314" s="18"/>
      <c r="B314" s="11"/>
      <c r="C314" s="11"/>
      <c r="D314" s="11"/>
      <c r="E314" s="11"/>
      <c r="F314" s="11"/>
      <c r="G314" s="11"/>
      <c r="H314" s="11"/>
      <c r="I314" s="11"/>
      <c r="J314" s="11"/>
      <c r="K314" s="11"/>
      <c r="L314" s="15"/>
      <c r="M314" s="15"/>
      <c r="N314" s="15"/>
      <c r="O314" s="15"/>
      <c r="P314" s="15"/>
      <c r="Q314" s="11"/>
      <c r="R314" s="11"/>
      <c r="S314" s="11"/>
      <c r="T314" s="11"/>
      <c r="U314" s="15"/>
      <c r="V314" s="11"/>
      <c r="W314" s="11"/>
      <c r="X314" s="11"/>
      <c r="Y314" s="11"/>
      <c r="Z314" s="11"/>
    </row>
    <row r="315">
      <c r="A315" s="18"/>
      <c r="B315" s="11"/>
      <c r="C315" s="11"/>
      <c r="D315" s="11"/>
      <c r="E315" s="11"/>
      <c r="F315" s="11"/>
      <c r="G315" s="11"/>
      <c r="H315" s="11"/>
      <c r="I315" s="11"/>
      <c r="J315" s="11"/>
      <c r="K315" s="11"/>
      <c r="L315" s="15"/>
      <c r="M315" s="15"/>
      <c r="N315" s="15"/>
      <c r="O315" s="15"/>
      <c r="P315" s="15"/>
      <c r="Q315" s="11"/>
      <c r="R315" s="11"/>
      <c r="S315" s="11"/>
      <c r="T315" s="11"/>
      <c r="U315" s="15"/>
      <c r="V315" s="11"/>
      <c r="W315" s="11"/>
      <c r="X315" s="11"/>
      <c r="Y315" s="11"/>
      <c r="Z315" s="11"/>
    </row>
    <row r="316">
      <c r="A316" s="18"/>
      <c r="B316" s="11"/>
      <c r="C316" s="11"/>
      <c r="D316" s="11"/>
      <c r="E316" s="11"/>
      <c r="F316" s="11"/>
      <c r="G316" s="11"/>
      <c r="H316" s="11"/>
      <c r="I316" s="11"/>
      <c r="J316" s="11"/>
      <c r="K316" s="11"/>
      <c r="L316" s="15"/>
      <c r="M316" s="15"/>
      <c r="N316" s="15"/>
      <c r="O316" s="15"/>
      <c r="P316" s="15"/>
      <c r="Q316" s="11"/>
      <c r="R316" s="11"/>
      <c r="S316" s="11"/>
      <c r="T316" s="11"/>
      <c r="U316" s="15"/>
      <c r="V316" s="11"/>
      <c r="W316" s="11"/>
      <c r="X316" s="11"/>
      <c r="Y316" s="11"/>
      <c r="Z316" s="11"/>
    </row>
    <row r="317">
      <c r="A317" s="18"/>
      <c r="B317" s="11"/>
      <c r="C317" s="11"/>
      <c r="D317" s="11"/>
      <c r="E317" s="11"/>
      <c r="F317" s="11"/>
      <c r="G317" s="11"/>
      <c r="H317" s="11"/>
      <c r="I317" s="11"/>
      <c r="J317" s="11"/>
      <c r="K317" s="11"/>
      <c r="L317" s="15"/>
      <c r="M317" s="15"/>
      <c r="N317" s="15"/>
      <c r="O317" s="15"/>
      <c r="P317" s="15"/>
      <c r="Q317" s="11"/>
      <c r="R317" s="11"/>
      <c r="S317" s="11"/>
      <c r="T317" s="11"/>
      <c r="U317" s="15"/>
      <c r="V317" s="11"/>
      <c r="W317" s="11"/>
      <c r="X317" s="11"/>
      <c r="Y317" s="11"/>
      <c r="Z317" s="11"/>
    </row>
    <row r="318">
      <c r="A318" s="18"/>
      <c r="B318" s="11"/>
      <c r="C318" s="11"/>
      <c r="D318" s="11"/>
      <c r="E318" s="11"/>
      <c r="F318" s="11"/>
      <c r="G318" s="11"/>
      <c r="H318" s="11"/>
      <c r="I318" s="11"/>
      <c r="J318" s="11"/>
      <c r="K318" s="11"/>
      <c r="L318" s="15"/>
      <c r="M318" s="15"/>
      <c r="N318" s="15"/>
      <c r="O318" s="15"/>
      <c r="P318" s="15"/>
      <c r="Q318" s="11"/>
      <c r="R318" s="11"/>
      <c r="S318" s="11"/>
      <c r="T318" s="11"/>
      <c r="U318" s="15"/>
      <c r="V318" s="11"/>
      <c r="W318" s="11"/>
      <c r="X318" s="11"/>
      <c r="Y318" s="11"/>
      <c r="Z318" s="11"/>
    </row>
    <row r="319">
      <c r="A319" s="18"/>
      <c r="B319" s="11"/>
      <c r="C319" s="11"/>
      <c r="D319" s="11"/>
      <c r="E319" s="11"/>
      <c r="F319" s="11"/>
      <c r="G319" s="11"/>
      <c r="H319" s="11"/>
      <c r="I319" s="11"/>
      <c r="J319" s="11"/>
      <c r="K319" s="11"/>
      <c r="L319" s="15"/>
      <c r="M319" s="15"/>
      <c r="N319" s="15"/>
      <c r="O319" s="15"/>
      <c r="P319" s="15"/>
      <c r="Q319" s="11"/>
      <c r="R319" s="11"/>
      <c r="S319" s="11"/>
      <c r="T319" s="11"/>
      <c r="U319" s="15"/>
      <c r="V319" s="11"/>
      <c r="W319" s="11"/>
      <c r="X319" s="11"/>
      <c r="Y319" s="11"/>
      <c r="Z319" s="11"/>
    </row>
    <row r="320">
      <c r="A320" s="18"/>
      <c r="B320" s="11"/>
      <c r="C320" s="11"/>
      <c r="D320" s="11"/>
      <c r="E320" s="11"/>
      <c r="F320" s="11"/>
      <c r="G320" s="11"/>
      <c r="H320" s="11"/>
      <c r="I320" s="11"/>
      <c r="J320" s="11"/>
      <c r="K320" s="11"/>
      <c r="L320" s="15"/>
      <c r="M320" s="15"/>
      <c r="N320" s="15"/>
      <c r="O320" s="15"/>
      <c r="P320" s="15"/>
      <c r="Q320" s="11"/>
      <c r="R320" s="11"/>
      <c r="S320" s="11"/>
      <c r="T320" s="11"/>
      <c r="U320" s="15"/>
      <c r="V320" s="11"/>
      <c r="W320" s="11"/>
      <c r="X320" s="11"/>
      <c r="Y320" s="11"/>
      <c r="Z320" s="11"/>
    </row>
    <row r="321">
      <c r="A321" s="18"/>
      <c r="B321" s="11"/>
      <c r="C321" s="11"/>
      <c r="D321" s="11"/>
      <c r="E321" s="11"/>
      <c r="F321" s="11"/>
      <c r="G321" s="11"/>
      <c r="H321" s="11"/>
      <c r="I321" s="11"/>
      <c r="J321" s="11"/>
      <c r="K321" s="11"/>
      <c r="L321" s="15"/>
      <c r="M321" s="15"/>
      <c r="N321" s="15"/>
      <c r="O321" s="15"/>
      <c r="P321" s="15"/>
      <c r="Q321" s="11"/>
      <c r="R321" s="11"/>
      <c r="S321" s="11"/>
      <c r="T321" s="11"/>
      <c r="U321" s="15"/>
      <c r="V321" s="11"/>
      <c r="W321" s="11"/>
      <c r="X321" s="11"/>
      <c r="Y321" s="11"/>
      <c r="Z321" s="11"/>
    </row>
    <row r="322">
      <c r="A322" s="18"/>
      <c r="B322" s="11"/>
      <c r="C322" s="11"/>
      <c r="D322" s="11"/>
      <c r="E322" s="11"/>
      <c r="F322" s="11"/>
      <c r="G322" s="11"/>
      <c r="H322" s="11"/>
      <c r="I322" s="11"/>
      <c r="J322" s="11"/>
      <c r="K322" s="11"/>
      <c r="L322" s="15"/>
      <c r="M322" s="15"/>
      <c r="N322" s="15"/>
      <c r="O322" s="15"/>
      <c r="P322" s="15"/>
      <c r="Q322" s="11"/>
      <c r="R322" s="11"/>
      <c r="S322" s="11"/>
      <c r="T322" s="11"/>
      <c r="U322" s="15"/>
      <c r="V322" s="11"/>
      <c r="W322" s="11"/>
      <c r="X322" s="11"/>
      <c r="Y322" s="11"/>
      <c r="Z322" s="11"/>
    </row>
    <row r="323">
      <c r="A323" s="18"/>
      <c r="B323" s="11"/>
      <c r="C323" s="11"/>
      <c r="D323" s="11"/>
      <c r="E323" s="11"/>
      <c r="F323" s="11"/>
      <c r="G323" s="11"/>
      <c r="H323" s="11"/>
      <c r="I323" s="11"/>
      <c r="J323" s="11"/>
      <c r="K323" s="11"/>
      <c r="L323" s="15"/>
      <c r="M323" s="15"/>
      <c r="N323" s="15"/>
      <c r="O323" s="15"/>
      <c r="P323" s="15"/>
      <c r="Q323" s="11"/>
      <c r="R323" s="11"/>
      <c r="S323" s="11"/>
      <c r="T323" s="11"/>
      <c r="U323" s="15"/>
      <c r="V323" s="11"/>
      <c r="W323" s="11"/>
      <c r="X323" s="11"/>
      <c r="Y323" s="11"/>
      <c r="Z323" s="11"/>
    </row>
    <row r="324">
      <c r="A324" s="18"/>
      <c r="B324" s="11"/>
      <c r="C324" s="11"/>
      <c r="D324" s="11"/>
      <c r="E324" s="11"/>
      <c r="F324" s="11"/>
      <c r="G324" s="11"/>
      <c r="H324" s="11"/>
      <c r="I324" s="11"/>
      <c r="J324" s="11"/>
      <c r="K324" s="11"/>
      <c r="L324" s="15"/>
      <c r="M324" s="15"/>
      <c r="N324" s="15"/>
      <c r="O324" s="15"/>
      <c r="P324" s="15"/>
      <c r="Q324" s="11"/>
      <c r="R324" s="11"/>
      <c r="S324" s="11"/>
      <c r="T324" s="11"/>
      <c r="U324" s="15"/>
      <c r="V324" s="11"/>
      <c r="W324" s="11"/>
      <c r="X324" s="11"/>
      <c r="Y324" s="11"/>
      <c r="Z324" s="11"/>
    </row>
    <row r="325">
      <c r="A325" s="18"/>
      <c r="B325" s="11"/>
      <c r="C325" s="11"/>
      <c r="D325" s="11"/>
      <c r="E325" s="11"/>
      <c r="F325" s="11"/>
      <c r="G325" s="11"/>
      <c r="H325" s="11"/>
      <c r="I325" s="11"/>
      <c r="J325" s="11"/>
      <c r="K325" s="11"/>
      <c r="L325" s="15"/>
      <c r="M325" s="15"/>
      <c r="N325" s="15"/>
      <c r="O325" s="15"/>
      <c r="P325" s="15"/>
      <c r="Q325" s="11"/>
      <c r="R325" s="11"/>
      <c r="S325" s="11"/>
      <c r="T325" s="11"/>
      <c r="U325" s="15"/>
      <c r="V325" s="11"/>
      <c r="W325" s="11"/>
      <c r="X325" s="11"/>
      <c r="Y325" s="11"/>
      <c r="Z325" s="11"/>
    </row>
    <row r="326">
      <c r="A326" s="18"/>
      <c r="B326" s="11"/>
      <c r="C326" s="11"/>
      <c r="D326" s="11"/>
      <c r="E326" s="11"/>
      <c r="F326" s="11"/>
      <c r="G326" s="11"/>
      <c r="H326" s="11"/>
      <c r="I326" s="11"/>
      <c r="J326" s="11"/>
      <c r="K326" s="11"/>
      <c r="L326" s="15"/>
      <c r="M326" s="15"/>
      <c r="N326" s="15"/>
      <c r="O326" s="15"/>
      <c r="P326" s="15"/>
      <c r="Q326" s="11"/>
      <c r="R326" s="11"/>
      <c r="S326" s="11"/>
      <c r="T326" s="11"/>
      <c r="U326" s="15"/>
      <c r="V326" s="11"/>
      <c r="W326" s="11"/>
      <c r="X326" s="11"/>
      <c r="Y326" s="11"/>
      <c r="Z326" s="11"/>
    </row>
    <row r="327">
      <c r="A327" s="18"/>
      <c r="B327" s="11"/>
      <c r="C327" s="11"/>
      <c r="D327" s="11"/>
      <c r="E327" s="11"/>
      <c r="F327" s="11"/>
      <c r="G327" s="11"/>
      <c r="H327" s="11"/>
      <c r="I327" s="11"/>
      <c r="J327" s="11"/>
      <c r="K327" s="11"/>
      <c r="L327" s="15"/>
      <c r="M327" s="15"/>
      <c r="N327" s="15"/>
      <c r="O327" s="15"/>
      <c r="P327" s="15"/>
      <c r="Q327" s="11"/>
      <c r="R327" s="11"/>
      <c r="S327" s="11"/>
      <c r="T327" s="11"/>
      <c r="U327" s="15"/>
      <c r="V327" s="11"/>
      <c r="W327" s="11"/>
      <c r="X327" s="11"/>
      <c r="Y327" s="11"/>
      <c r="Z327" s="11"/>
    </row>
    <row r="328">
      <c r="A328" s="18"/>
      <c r="B328" s="11"/>
      <c r="C328" s="11"/>
      <c r="D328" s="11"/>
      <c r="E328" s="11"/>
      <c r="F328" s="11"/>
      <c r="G328" s="11"/>
      <c r="H328" s="11"/>
      <c r="I328" s="11"/>
      <c r="J328" s="11"/>
      <c r="K328" s="11"/>
      <c r="L328" s="15"/>
      <c r="M328" s="15"/>
      <c r="N328" s="15"/>
      <c r="O328" s="15"/>
      <c r="P328" s="15"/>
      <c r="Q328" s="11"/>
      <c r="R328" s="11"/>
      <c r="S328" s="11"/>
      <c r="T328" s="11"/>
      <c r="U328" s="15"/>
      <c r="V328" s="11"/>
      <c r="W328" s="11"/>
      <c r="X328" s="11"/>
      <c r="Y328" s="11"/>
      <c r="Z328" s="11"/>
    </row>
    <row r="329">
      <c r="A329" s="18"/>
      <c r="B329" s="11"/>
      <c r="C329" s="11"/>
      <c r="D329" s="11"/>
      <c r="E329" s="11"/>
      <c r="F329" s="11"/>
      <c r="G329" s="11"/>
      <c r="H329" s="11"/>
      <c r="I329" s="11"/>
      <c r="J329" s="11"/>
      <c r="K329" s="11"/>
      <c r="L329" s="15"/>
      <c r="M329" s="15"/>
      <c r="N329" s="15"/>
      <c r="O329" s="15"/>
      <c r="P329" s="15"/>
      <c r="Q329" s="11"/>
      <c r="R329" s="11"/>
      <c r="S329" s="11"/>
      <c r="T329" s="11"/>
      <c r="U329" s="15"/>
      <c r="V329" s="11"/>
      <c r="W329" s="11"/>
      <c r="X329" s="11"/>
      <c r="Y329" s="11"/>
      <c r="Z329" s="11"/>
    </row>
    <row r="330">
      <c r="A330" s="18"/>
      <c r="B330" s="11"/>
      <c r="C330" s="11"/>
      <c r="D330" s="11"/>
      <c r="E330" s="11"/>
      <c r="F330" s="11"/>
      <c r="G330" s="11"/>
      <c r="H330" s="11"/>
      <c r="I330" s="11"/>
      <c r="J330" s="11"/>
      <c r="K330" s="11"/>
      <c r="L330" s="15"/>
      <c r="M330" s="15"/>
      <c r="N330" s="15"/>
      <c r="O330" s="15"/>
      <c r="P330" s="15"/>
      <c r="Q330" s="11"/>
      <c r="R330" s="11"/>
      <c r="S330" s="11"/>
      <c r="T330" s="11"/>
      <c r="U330" s="15"/>
      <c r="V330" s="11"/>
      <c r="W330" s="11"/>
      <c r="X330" s="11"/>
      <c r="Y330" s="11"/>
      <c r="Z330" s="11"/>
    </row>
    <row r="331">
      <c r="A331" s="18"/>
      <c r="B331" s="11"/>
      <c r="C331" s="11"/>
      <c r="D331" s="11"/>
      <c r="E331" s="11"/>
      <c r="F331" s="11"/>
      <c r="G331" s="11"/>
      <c r="H331" s="11"/>
      <c r="I331" s="11"/>
      <c r="J331" s="11"/>
      <c r="K331" s="11"/>
      <c r="L331" s="15"/>
      <c r="M331" s="15"/>
      <c r="N331" s="15"/>
      <c r="O331" s="15"/>
      <c r="P331" s="15"/>
      <c r="Q331" s="11"/>
      <c r="R331" s="11"/>
      <c r="S331" s="11"/>
      <c r="T331" s="11"/>
      <c r="U331" s="15"/>
      <c r="V331" s="11"/>
      <c r="W331" s="11"/>
      <c r="X331" s="11"/>
      <c r="Y331" s="11"/>
      <c r="Z331" s="11"/>
    </row>
    <row r="332">
      <c r="A332" s="18"/>
      <c r="B332" s="11"/>
      <c r="C332" s="11"/>
      <c r="D332" s="11"/>
      <c r="E332" s="11"/>
      <c r="F332" s="11"/>
      <c r="G332" s="11"/>
      <c r="H332" s="11"/>
      <c r="I332" s="11"/>
      <c r="J332" s="11"/>
      <c r="K332" s="11"/>
      <c r="L332" s="15"/>
      <c r="M332" s="15"/>
      <c r="N332" s="15"/>
      <c r="O332" s="15"/>
      <c r="P332" s="15"/>
      <c r="Q332" s="11"/>
      <c r="R332" s="11"/>
      <c r="S332" s="11"/>
      <c r="T332" s="11"/>
      <c r="U332" s="15"/>
      <c r="V332" s="11"/>
      <c r="W332" s="11"/>
      <c r="X332" s="11"/>
      <c r="Y332" s="11"/>
      <c r="Z332" s="11"/>
    </row>
    <row r="333">
      <c r="A333" s="18"/>
      <c r="B333" s="11"/>
      <c r="C333" s="11"/>
      <c r="D333" s="11"/>
      <c r="E333" s="11"/>
      <c r="F333" s="11"/>
      <c r="G333" s="11"/>
      <c r="H333" s="11"/>
      <c r="I333" s="11"/>
      <c r="J333" s="11"/>
      <c r="K333" s="11"/>
      <c r="L333" s="15"/>
      <c r="M333" s="15"/>
      <c r="N333" s="15"/>
      <c r="O333" s="15"/>
      <c r="P333" s="15"/>
      <c r="Q333" s="11"/>
      <c r="R333" s="11"/>
      <c r="S333" s="11"/>
      <c r="T333" s="11"/>
      <c r="U333" s="15"/>
      <c r="V333" s="11"/>
      <c r="W333" s="11"/>
      <c r="X333" s="11"/>
      <c r="Y333" s="11"/>
      <c r="Z333" s="11"/>
    </row>
    <row r="334">
      <c r="A334" s="18"/>
      <c r="B334" s="11"/>
      <c r="C334" s="11"/>
      <c r="D334" s="11"/>
      <c r="E334" s="11"/>
      <c r="F334" s="11"/>
      <c r="G334" s="11"/>
      <c r="H334" s="11"/>
      <c r="I334" s="11"/>
      <c r="J334" s="11"/>
      <c r="K334" s="11"/>
      <c r="L334" s="15"/>
      <c r="M334" s="15"/>
      <c r="N334" s="15"/>
      <c r="O334" s="15"/>
      <c r="P334" s="15"/>
      <c r="Q334" s="11"/>
      <c r="R334" s="11"/>
      <c r="S334" s="11"/>
      <c r="T334" s="11"/>
      <c r="U334" s="15"/>
      <c r="V334" s="11"/>
      <c r="W334" s="11"/>
      <c r="X334" s="11"/>
      <c r="Y334" s="11"/>
      <c r="Z334" s="11"/>
    </row>
    <row r="335">
      <c r="A335" s="18"/>
      <c r="B335" s="11"/>
      <c r="C335" s="11"/>
      <c r="D335" s="11"/>
      <c r="E335" s="11"/>
      <c r="F335" s="11"/>
      <c r="G335" s="11"/>
      <c r="H335" s="11"/>
      <c r="I335" s="11"/>
      <c r="J335" s="11"/>
      <c r="K335" s="11"/>
      <c r="L335" s="15"/>
      <c r="M335" s="15"/>
      <c r="N335" s="15"/>
      <c r="O335" s="15"/>
      <c r="P335" s="15"/>
      <c r="Q335" s="11"/>
      <c r="R335" s="11"/>
      <c r="S335" s="11"/>
      <c r="T335" s="11"/>
      <c r="U335" s="15"/>
      <c r="V335" s="11"/>
      <c r="W335" s="11"/>
      <c r="X335" s="11"/>
      <c r="Y335" s="11"/>
      <c r="Z335" s="11"/>
    </row>
    <row r="336">
      <c r="A336" s="18"/>
      <c r="B336" s="11"/>
      <c r="C336" s="11"/>
      <c r="D336" s="11"/>
      <c r="E336" s="11"/>
      <c r="F336" s="11"/>
      <c r="G336" s="11"/>
      <c r="H336" s="11"/>
      <c r="I336" s="11"/>
      <c r="J336" s="11"/>
      <c r="K336" s="11"/>
      <c r="L336" s="15"/>
      <c r="M336" s="15"/>
      <c r="N336" s="15"/>
      <c r="O336" s="15"/>
      <c r="P336" s="15"/>
      <c r="Q336" s="11"/>
      <c r="R336" s="11"/>
      <c r="S336" s="11"/>
      <c r="T336" s="11"/>
      <c r="U336" s="15"/>
      <c r="V336" s="11"/>
      <c r="W336" s="11"/>
      <c r="X336" s="11"/>
      <c r="Y336" s="11"/>
      <c r="Z336" s="11"/>
    </row>
    <row r="337">
      <c r="A337" s="18"/>
      <c r="B337" s="11"/>
      <c r="C337" s="11"/>
      <c r="D337" s="11"/>
      <c r="E337" s="11"/>
      <c r="F337" s="11"/>
      <c r="G337" s="11"/>
      <c r="H337" s="11"/>
      <c r="I337" s="11"/>
      <c r="J337" s="11"/>
      <c r="K337" s="11"/>
      <c r="L337" s="15"/>
      <c r="M337" s="15"/>
      <c r="N337" s="15"/>
      <c r="O337" s="15"/>
      <c r="P337" s="15"/>
      <c r="Q337" s="11"/>
      <c r="R337" s="11"/>
      <c r="S337" s="11"/>
      <c r="T337" s="11"/>
      <c r="U337" s="15"/>
      <c r="V337" s="11"/>
      <c r="W337" s="11"/>
      <c r="X337" s="11"/>
      <c r="Y337" s="11"/>
      <c r="Z337" s="11"/>
    </row>
    <row r="338">
      <c r="A338" s="18"/>
      <c r="B338" s="11"/>
      <c r="C338" s="11"/>
      <c r="D338" s="11"/>
      <c r="E338" s="11"/>
      <c r="F338" s="11"/>
      <c r="G338" s="11"/>
      <c r="H338" s="11"/>
      <c r="I338" s="11"/>
      <c r="J338" s="11"/>
      <c r="K338" s="11"/>
      <c r="L338" s="15"/>
      <c r="M338" s="15"/>
      <c r="N338" s="15"/>
      <c r="O338" s="15"/>
      <c r="P338" s="15"/>
      <c r="Q338" s="11"/>
      <c r="R338" s="11"/>
      <c r="S338" s="11"/>
      <c r="T338" s="11"/>
      <c r="U338" s="15"/>
      <c r="V338" s="11"/>
      <c r="W338" s="11"/>
      <c r="X338" s="11"/>
      <c r="Y338" s="11"/>
      <c r="Z338" s="11"/>
    </row>
    <row r="339">
      <c r="A339" s="18"/>
      <c r="B339" s="11"/>
      <c r="C339" s="11"/>
      <c r="D339" s="11"/>
      <c r="E339" s="11"/>
      <c r="F339" s="11"/>
      <c r="G339" s="11"/>
      <c r="H339" s="11"/>
      <c r="I339" s="11"/>
      <c r="J339" s="11"/>
      <c r="K339" s="11"/>
      <c r="L339" s="15"/>
      <c r="M339" s="15"/>
      <c r="N339" s="15"/>
      <c r="O339" s="15"/>
      <c r="P339" s="15"/>
      <c r="Q339" s="11"/>
      <c r="R339" s="11"/>
      <c r="S339" s="11"/>
      <c r="T339" s="11"/>
      <c r="U339" s="15"/>
      <c r="V339" s="11"/>
      <c r="W339" s="11"/>
      <c r="X339" s="11"/>
      <c r="Y339" s="11"/>
      <c r="Z339" s="11"/>
    </row>
    <row r="340">
      <c r="A340" s="18"/>
      <c r="B340" s="11"/>
      <c r="C340" s="11"/>
      <c r="D340" s="11"/>
      <c r="E340" s="11"/>
      <c r="F340" s="11"/>
      <c r="G340" s="11"/>
      <c r="H340" s="11"/>
      <c r="I340" s="11"/>
      <c r="J340" s="11"/>
      <c r="K340" s="11"/>
      <c r="L340" s="15"/>
      <c r="M340" s="15"/>
      <c r="N340" s="15"/>
      <c r="O340" s="15"/>
      <c r="P340" s="15"/>
      <c r="Q340" s="11"/>
      <c r="R340" s="11"/>
      <c r="S340" s="11"/>
      <c r="T340" s="11"/>
      <c r="U340" s="15"/>
      <c r="V340" s="11"/>
      <c r="W340" s="11"/>
      <c r="X340" s="11"/>
      <c r="Y340" s="11"/>
      <c r="Z340" s="11"/>
    </row>
    <row r="341">
      <c r="A341" s="18"/>
      <c r="B341" s="11"/>
      <c r="C341" s="11"/>
      <c r="D341" s="11"/>
      <c r="E341" s="11"/>
      <c r="F341" s="11"/>
      <c r="G341" s="11"/>
      <c r="H341" s="11"/>
      <c r="I341" s="11"/>
      <c r="J341" s="11"/>
      <c r="K341" s="11"/>
      <c r="L341" s="15"/>
      <c r="M341" s="15"/>
      <c r="N341" s="15"/>
      <c r="O341" s="15"/>
      <c r="P341" s="15"/>
      <c r="Q341" s="11"/>
      <c r="R341" s="11"/>
      <c r="S341" s="11"/>
      <c r="T341" s="11"/>
      <c r="U341" s="15"/>
      <c r="V341" s="11"/>
      <c r="W341" s="11"/>
      <c r="X341" s="11"/>
      <c r="Y341" s="11"/>
      <c r="Z341" s="11"/>
    </row>
    <row r="342">
      <c r="A342" s="18"/>
      <c r="B342" s="11"/>
      <c r="C342" s="11"/>
      <c r="D342" s="11"/>
      <c r="E342" s="11"/>
      <c r="F342" s="11"/>
      <c r="G342" s="11"/>
      <c r="H342" s="11"/>
      <c r="I342" s="11"/>
      <c r="J342" s="11"/>
      <c r="K342" s="11"/>
      <c r="L342" s="15"/>
      <c r="M342" s="15"/>
      <c r="N342" s="15"/>
      <c r="O342" s="15"/>
      <c r="P342" s="15"/>
      <c r="Q342" s="11"/>
      <c r="R342" s="11"/>
      <c r="S342" s="11"/>
      <c r="T342" s="11"/>
      <c r="U342" s="15"/>
      <c r="V342" s="11"/>
      <c r="W342" s="11"/>
      <c r="X342" s="11"/>
      <c r="Y342" s="11"/>
      <c r="Z342" s="11"/>
    </row>
    <row r="343">
      <c r="A343" s="18"/>
      <c r="B343" s="11"/>
      <c r="C343" s="11"/>
      <c r="D343" s="11"/>
      <c r="E343" s="11"/>
      <c r="F343" s="11"/>
      <c r="G343" s="11"/>
      <c r="H343" s="11"/>
      <c r="I343" s="11"/>
      <c r="J343" s="11"/>
      <c r="K343" s="11"/>
      <c r="L343" s="15"/>
      <c r="M343" s="15"/>
      <c r="N343" s="15"/>
      <c r="O343" s="15"/>
      <c r="P343" s="15"/>
      <c r="Q343" s="11"/>
      <c r="R343" s="11"/>
      <c r="S343" s="11"/>
      <c r="T343" s="11"/>
      <c r="U343" s="15"/>
      <c r="V343" s="11"/>
      <c r="W343" s="11"/>
      <c r="X343" s="11"/>
      <c r="Y343" s="11"/>
      <c r="Z343" s="11"/>
    </row>
    <row r="344">
      <c r="A344" s="18"/>
      <c r="B344" s="11"/>
      <c r="C344" s="11"/>
      <c r="D344" s="11"/>
      <c r="E344" s="11"/>
      <c r="F344" s="11"/>
      <c r="G344" s="11"/>
      <c r="H344" s="11"/>
      <c r="I344" s="11"/>
      <c r="J344" s="11"/>
      <c r="K344" s="11"/>
      <c r="L344" s="15"/>
      <c r="M344" s="15"/>
      <c r="N344" s="15"/>
      <c r="O344" s="15"/>
      <c r="P344" s="15"/>
      <c r="Q344" s="11"/>
      <c r="R344" s="11"/>
      <c r="S344" s="11"/>
      <c r="T344" s="11"/>
      <c r="U344" s="15"/>
      <c r="V344" s="11"/>
      <c r="W344" s="11"/>
      <c r="X344" s="11"/>
      <c r="Y344" s="11"/>
      <c r="Z344" s="11"/>
    </row>
    <row r="345">
      <c r="A345" s="18"/>
      <c r="B345" s="11"/>
      <c r="C345" s="11"/>
      <c r="D345" s="11"/>
      <c r="E345" s="11"/>
      <c r="F345" s="11"/>
      <c r="G345" s="11"/>
      <c r="H345" s="11"/>
      <c r="I345" s="11"/>
      <c r="J345" s="11"/>
      <c r="K345" s="11"/>
      <c r="L345" s="15"/>
      <c r="M345" s="15"/>
      <c r="N345" s="15"/>
      <c r="O345" s="15"/>
      <c r="P345" s="15"/>
      <c r="Q345" s="11"/>
      <c r="R345" s="11"/>
      <c r="S345" s="11"/>
      <c r="T345" s="11"/>
      <c r="U345" s="15"/>
      <c r="V345" s="11"/>
      <c r="W345" s="11"/>
      <c r="X345" s="11"/>
      <c r="Y345" s="11"/>
      <c r="Z345" s="11"/>
    </row>
    <row r="346">
      <c r="A346" s="18"/>
      <c r="B346" s="11"/>
      <c r="C346" s="11"/>
      <c r="D346" s="11"/>
      <c r="E346" s="11"/>
      <c r="F346" s="11"/>
      <c r="G346" s="11"/>
      <c r="H346" s="11"/>
      <c r="I346" s="11"/>
      <c r="J346" s="11"/>
      <c r="K346" s="11"/>
      <c r="L346" s="15"/>
      <c r="M346" s="15"/>
      <c r="N346" s="15"/>
      <c r="O346" s="15"/>
      <c r="P346" s="15"/>
      <c r="Q346" s="11"/>
      <c r="R346" s="11"/>
      <c r="S346" s="11"/>
      <c r="T346" s="11"/>
      <c r="U346" s="15"/>
      <c r="V346" s="11"/>
      <c r="W346" s="11"/>
      <c r="X346" s="11"/>
      <c r="Y346" s="11"/>
      <c r="Z346" s="11"/>
    </row>
    <row r="347">
      <c r="A347" s="18"/>
      <c r="B347" s="11"/>
      <c r="C347" s="11"/>
      <c r="D347" s="11"/>
      <c r="E347" s="11"/>
      <c r="F347" s="11"/>
      <c r="G347" s="11"/>
      <c r="H347" s="11"/>
      <c r="I347" s="11"/>
      <c r="J347" s="11"/>
      <c r="K347" s="11"/>
      <c r="L347" s="15"/>
      <c r="M347" s="15"/>
      <c r="N347" s="15"/>
      <c r="O347" s="15"/>
      <c r="P347" s="15"/>
      <c r="Q347" s="11"/>
      <c r="R347" s="11"/>
      <c r="S347" s="11"/>
      <c r="T347" s="11"/>
      <c r="U347" s="15"/>
      <c r="V347" s="11"/>
      <c r="W347" s="11"/>
      <c r="X347" s="11"/>
      <c r="Y347" s="11"/>
      <c r="Z347" s="11"/>
    </row>
    <row r="348">
      <c r="A348" s="18"/>
      <c r="B348" s="11"/>
      <c r="C348" s="11"/>
      <c r="D348" s="11"/>
      <c r="E348" s="11"/>
      <c r="F348" s="11"/>
      <c r="G348" s="11"/>
      <c r="H348" s="11"/>
      <c r="I348" s="11"/>
      <c r="J348" s="11"/>
      <c r="K348" s="11"/>
      <c r="L348" s="15"/>
      <c r="M348" s="15"/>
      <c r="N348" s="15"/>
      <c r="O348" s="15"/>
      <c r="P348" s="15"/>
      <c r="Q348" s="11"/>
      <c r="R348" s="11"/>
      <c r="S348" s="11"/>
      <c r="T348" s="11"/>
      <c r="U348" s="15"/>
      <c r="V348" s="11"/>
      <c r="W348" s="11"/>
      <c r="X348" s="11"/>
      <c r="Y348" s="11"/>
      <c r="Z348" s="11"/>
    </row>
    <row r="349">
      <c r="A349" s="18"/>
      <c r="B349" s="11"/>
      <c r="C349" s="11"/>
      <c r="D349" s="11"/>
      <c r="E349" s="11"/>
      <c r="F349" s="11"/>
      <c r="G349" s="11"/>
      <c r="H349" s="11"/>
      <c r="I349" s="11"/>
      <c r="J349" s="11"/>
      <c r="K349" s="11"/>
      <c r="L349" s="15"/>
      <c r="M349" s="15"/>
      <c r="N349" s="15"/>
      <c r="O349" s="15"/>
      <c r="P349" s="15"/>
      <c r="Q349" s="11"/>
      <c r="R349" s="11"/>
      <c r="S349" s="11"/>
      <c r="T349" s="11"/>
      <c r="U349" s="15"/>
      <c r="V349" s="11"/>
      <c r="W349" s="11"/>
      <c r="X349" s="11"/>
      <c r="Y349" s="11"/>
      <c r="Z349" s="11"/>
    </row>
    <row r="350">
      <c r="A350" s="18"/>
      <c r="B350" s="11"/>
      <c r="C350" s="11"/>
      <c r="D350" s="11"/>
      <c r="E350" s="11"/>
      <c r="F350" s="11"/>
      <c r="G350" s="11"/>
      <c r="H350" s="11"/>
      <c r="I350" s="11"/>
      <c r="J350" s="11"/>
      <c r="K350" s="11"/>
      <c r="L350" s="15"/>
      <c r="M350" s="15"/>
      <c r="N350" s="15"/>
      <c r="O350" s="15"/>
      <c r="P350" s="15"/>
      <c r="Q350" s="11"/>
      <c r="R350" s="11"/>
      <c r="S350" s="11"/>
      <c r="T350" s="11"/>
      <c r="U350" s="15"/>
      <c r="V350" s="11"/>
      <c r="W350" s="11"/>
      <c r="X350" s="11"/>
      <c r="Y350" s="11"/>
      <c r="Z350" s="11"/>
    </row>
    <row r="351">
      <c r="A351" s="18"/>
      <c r="B351" s="11"/>
      <c r="C351" s="11"/>
      <c r="D351" s="11"/>
      <c r="E351" s="11"/>
      <c r="F351" s="11"/>
      <c r="G351" s="11"/>
      <c r="H351" s="11"/>
      <c r="I351" s="11"/>
      <c r="J351" s="11"/>
      <c r="K351" s="11"/>
      <c r="L351" s="15"/>
      <c r="M351" s="15"/>
      <c r="N351" s="15"/>
      <c r="O351" s="15"/>
      <c r="P351" s="15"/>
      <c r="Q351" s="11"/>
      <c r="R351" s="11"/>
      <c r="S351" s="11"/>
      <c r="T351" s="11"/>
      <c r="U351" s="15"/>
      <c r="V351" s="11"/>
      <c r="W351" s="11"/>
      <c r="X351" s="11"/>
      <c r="Y351" s="11"/>
      <c r="Z351" s="11"/>
    </row>
    <row r="352">
      <c r="A352" s="18"/>
      <c r="B352" s="11"/>
      <c r="C352" s="11"/>
      <c r="D352" s="11"/>
      <c r="E352" s="11"/>
      <c r="F352" s="11"/>
      <c r="G352" s="11"/>
      <c r="H352" s="11"/>
      <c r="I352" s="11"/>
      <c r="J352" s="11"/>
      <c r="K352" s="11"/>
      <c r="L352" s="15"/>
      <c r="M352" s="15"/>
      <c r="N352" s="15"/>
      <c r="O352" s="15"/>
      <c r="P352" s="15"/>
      <c r="Q352" s="11"/>
      <c r="R352" s="11"/>
      <c r="S352" s="11"/>
      <c r="T352" s="11"/>
      <c r="U352" s="15"/>
      <c r="V352" s="11"/>
      <c r="W352" s="11"/>
      <c r="X352" s="11"/>
      <c r="Y352" s="11"/>
      <c r="Z352" s="11"/>
    </row>
    <row r="353">
      <c r="A353" s="18"/>
      <c r="B353" s="11"/>
      <c r="C353" s="11"/>
      <c r="D353" s="11"/>
      <c r="E353" s="11"/>
      <c r="F353" s="11"/>
      <c r="G353" s="11"/>
      <c r="H353" s="11"/>
      <c r="I353" s="11"/>
      <c r="J353" s="11"/>
      <c r="K353" s="11"/>
      <c r="L353" s="15"/>
      <c r="M353" s="15"/>
      <c r="N353" s="15"/>
      <c r="O353" s="15"/>
      <c r="P353" s="15"/>
      <c r="Q353" s="11"/>
      <c r="R353" s="11"/>
      <c r="S353" s="11"/>
      <c r="T353" s="11"/>
      <c r="U353" s="15"/>
      <c r="V353" s="11"/>
      <c r="W353" s="11"/>
      <c r="X353" s="11"/>
      <c r="Y353" s="11"/>
      <c r="Z353" s="11"/>
    </row>
    <row r="354">
      <c r="A354" s="18"/>
      <c r="B354" s="11"/>
      <c r="C354" s="11"/>
      <c r="D354" s="11"/>
      <c r="E354" s="11"/>
      <c r="F354" s="11"/>
      <c r="G354" s="11"/>
      <c r="H354" s="11"/>
      <c r="I354" s="11"/>
      <c r="J354" s="11"/>
      <c r="K354" s="11"/>
      <c r="L354" s="15"/>
      <c r="M354" s="15"/>
      <c r="N354" s="15"/>
      <c r="O354" s="15"/>
      <c r="P354" s="15"/>
      <c r="Q354" s="11"/>
      <c r="R354" s="11"/>
      <c r="S354" s="11"/>
      <c r="T354" s="11"/>
      <c r="U354" s="15"/>
      <c r="V354" s="11"/>
      <c r="W354" s="11"/>
      <c r="X354" s="11"/>
      <c r="Y354" s="11"/>
      <c r="Z354" s="11"/>
    </row>
    <row r="355">
      <c r="A355" s="18"/>
      <c r="B355" s="11"/>
      <c r="C355" s="11"/>
      <c r="D355" s="11"/>
      <c r="E355" s="11"/>
      <c r="F355" s="11"/>
      <c r="G355" s="11"/>
      <c r="H355" s="11"/>
      <c r="I355" s="11"/>
      <c r="J355" s="11"/>
      <c r="K355" s="11"/>
      <c r="L355" s="15"/>
      <c r="M355" s="15"/>
      <c r="N355" s="15"/>
      <c r="O355" s="15"/>
      <c r="P355" s="15"/>
      <c r="Q355" s="11"/>
      <c r="R355" s="11"/>
      <c r="S355" s="11"/>
      <c r="T355" s="11"/>
      <c r="U355" s="15"/>
      <c r="V355" s="11"/>
      <c r="W355" s="11"/>
      <c r="X355" s="11"/>
      <c r="Y355" s="11"/>
      <c r="Z355" s="11"/>
    </row>
    <row r="356">
      <c r="A356" s="18"/>
      <c r="B356" s="11"/>
      <c r="C356" s="11"/>
      <c r="D356" s="11"/>
      <c r="E356" s="11"/>
      <c r="F356" s="11"/>
      <c r="G356" s="11"/>
      <c r="H356" s="11"/>
      <c r="I356" s="11"/>
      <c r="J356" s="11"/>
      <c r="K356" s="11"/>
      <c r="L356" s="15"/>
      <c r="M356" s="15"/>
      <c r="N356" s="15"/>
      <c r="O356" s="15"/>
      <c r="P356" s="15"/>
      <c r="Q356" s="11"/>
      <c r="R356" s="11"/>
      <c r="S356" s="11"/>
      <c r="T356" s="11"/>
      <c r="U356" s="15"/>
      <c r="V356" s="11"/>
      <c r="W356" s="11"/>
      <c r="X356" s="11"/>
      <c r="Y356" s="11"/>
      <c r="Z356" s="11"/>
    </row>
    <row r="357">
      <c r="A357" s="18"/>
      <c r="B357" s="11"/>
      <c r="C357" s="11"/>
      <c r="D357" s="11"/>
      <c r="E357" s="11"/>
      <c r="F357" s="11"/>
      <c r="G357" s="11"/>
      <c r="H357" s="11"/>
      <c r="I357" s="11"/>
      <c r="J357" s="11"/>
      <c r="K357" s="11"/>
      <c r="L357" s="15"/>
      <c r="M357" s="15"/>
      <c r="N357" s="15"/>
      <c r="O357" s="15"/>
      <c r="P357" s="15"/>
      <c r="Q357" s="11"/>
      <c r="R357" s="11"/>
      <c r="S357" s="11"/>
      <c r="T357" s="11"/>
      <c r="U357" s="15"/>
      <c r="V357" s="11"/>
      <c r="W357" s="11"/>
      <c r="X357" s="11"/>
      <c r="Y357" s="11"/>
      <c r="Z357" s="11"/>
    </row>
    <row r="358">
      <c r="A358" s="18"/>
      <c r="B358" s="11"/>
      <c r="C358" s="11"/>
      <c r="D358" s="11"/>
      <c r="E358" s="11"/>
      <c r="F358" s="11"/>
      <c r="G358" s="11"/>
      <c r="H358" s="11"/>
      <c r="I358" s="11"/>
      <c r="J358" s="11"/>
      <c r="K358" s="11"/>
      <c r="L358" s="15"/>
      <c r="M358" s="15"/>
      <c r="N358" s="15"/>
      <c r="O358" s="15"/>
      <c r="P358" s="15"/>
      <c r="Q358" s="11"/>
      <c r="R358" s="11"/>
      <c r="S358" s="11"/>
      <c r="T358" s="11"/>
      <c r="U358" s="15"/>
      <c r="V358" s="11"/>
      <c r="W358" s="11"/>
      <c r="X358" s="11"/>
      <c r="Y358" s="11"/>
      <c r="Z358" s="11"/>
    </row>
    <row r="359">
      <c r="A359" s="18"/>
      <c r="B359" s="11"/>
      <c r="C359" s="11"/>
      <c r="D359" s="11"/>
      <c r="E359" s="11"/>
      <c r="F359" s="11"/>
      <c r="G359" s="11"/>
      <c r="H359" s="11"/>
      <c r="I359" s="11"/>
      <c r="J359" s="11"/>
      <c r="K359" s="11"/>
      <c r="L359" s="15"/>
      <c r="M359" s="15"/>
      <c r="N359" s="15"/>
      <c r="O359" s="15"/>
      <c r="P359" s="15"/>
      <c r="Q359" s="11"/>
      <c r="R359" s="11"/>
      <c r="S359" s="11"/>
      <c r="T359" s="11"/>
      <c r="U359" s="15"/>
      <c r="V359" s="11"/>
      <c r="W359" s="11"/>
      <c r="X359" s="11"/>
      <c r="Y359" s="11"/>
      <c r="Z359" s="11"/>
    </row>
    <row r="360">
      <c r="A360" s="18"/>
      <c r="B360" s="11"/>
      <c r="C360" s="11"/>
      <c r="D360" s="11"/>
      <c r="E360" s="11"/>
      <c r="F360" s="11"/>
      <c r="G360" s="11"/>
      <c r="H360" s="11"/>
      <c r="I360" s="11"/>
      <c r="J360" s="11"/>
      <c r="K360" s="11"/>
      <c r="L360" s="15"/>
      <c r="M360" s="15"/>
      <c r="N360" s="15"/>
      <c r="O360" s="15"/>
      <c r="P360" s="15"/>
      <c r="Q360" s="11"/>
      <c r="R360" s="11"/>
      <c r="S360" s="11"/>
      <c r="T360" s="11"/>
      <c r="U360" s="15"/>
      <c r="V360" s="11"/>
      <c r="W360" s="11"/>
      <c r="X360" s="11"/>
      <c r="Y360" s="11"/>
      <c r="Z360" s="11"/>
    </row>
    <row r="361">
      <c r="A361" s="18"/>
      <c r="B361" s="11"/>
      <c r="C361" s="11"/>
      <c r="D361" s="11"/>
      <c r="E361" s="11"/>
      <c r="F361" s="11"/>
      <c r="G361" s="11"/>
      <c r="H361" s="11"/>
      <c r="I361" s="11"/>
      <c r="J361" s="11"/>
      <c r="K361" s="11"/>
      <c r="L361" s="15"/>
      <c r="M361" s="15"/>
      <c r="N361" s="15"/>
      <c r="O361" s="15"/>
      <c r="P361" s="15"/>
      <c r="Q361" s="11"/>
      <c r="R361" s="11"/>
      <c r="S361" s="11"/>
      <c r="T361" s="11"/>
      <c r="U361" s="15"/>
      <c r="V361" s="11"/>
      <c r="W361" s="11"/>
      <c r="X361" s="11"/>
      <c r="Y361" s="11"/>
      <c r="Z361" s="11"/>
    </row>
    <row r="362">
      <c r="A362" s="18"/>
      <c r="B362" s="11"/>
      <c r="C362" s="11"/>
      <c r="D362" s="11"/>
      <c r="E362" s="11"/>
      <c r="F362" s="11"/>
      <c r="G362" s="11"/>
      <c r="H362" s="11"/>
      <c r="I362" s="11"/>
      <c r="J362" s="11"/>
      <c r="K362" s="11"/>
      <c r="L362" s="15"/>
      <c r="M362" s="15"/>
      <c r="N362" s="15"/>
      <c r="O362" s="15"/>
      <c r="P362" s="15"/>
      <c r="Q362" s="11"/>
      <c r="R362" s="11"/>
      <c r="S362" s="11"/>
      <c r="T362" s="11"/>
      <c r="U362" s="15"/>
      <c r="V362" s="11"/>
      <c r="W362" s="11"/>
      <c r="X362" s="11"/>
      <c r="Y362" s="11"/>
      <c r="Z362" s="11"/>
    </row>
    <row r="363">
      <c r="A363" s="18"/>
      <c r="B363" s="11"/>
      <c r="C363" s="11"/>
      <c r="D363" s="11"/>
      <c r="E363" s="11"/>
      <c r="F363" s="11"/>
      <c r="G363" s="11"/>
      <c r="H363" s="11"/>
      <c r="I363" s="11"/>
      <c r="J363" s="11"/>
      <c r="K363" s="11"/>
      <c r="L363" s="15"/>
      <c r="M363" s="15"/>
      <c r="N363" s="15"/>
      <c r="O363" s="15"/>
      <c r="P363" s="15"/>
      <c r="Q363" s="11"/>
      <c r="R363" s="11"/>
      <c r="S363" s="11"/>
      <c r="T363" s="11"/>
      <c r="U363" s="15"/>
      <c r="V363" s="11"/>
      <c r="W363" s="11"/>
      <c r="X363" s="11"/>
      <c r="Y363" s="11"/>
      <c r="Z363" s="11"/>
    </row>
    <row r="364">
      <c r="A364" s="18"/>
      <c r="B364" s="11"/>
      <c r="C364" s="11"/>
      <c r="D364" s="11"/>
      <c r="E364" s="11"/>
      <c r="F364" s="11"/>
      <c r="G364" s="11"/>
      <c r="H364" s="11"/>
      <c r="I364" s="11"/>
      <c r="J364" s="11"/>
      <c r="K364" s="11"/>
      <c r="L364" s="15"/>
      <c r="M364" s="15"/>
      <c r="N364" s="15"/>
      <c r="O364" s="15"/>
      <c r="P364" s="15"/>
      <c r="Q364" s="11"/>
      <c r="R364" s="11"/>
      <c r="S364" s="11"/>
      <c r="T364" s="11"/>
      <c r="U364" s="15"/>
      <c r="V364" s="11"/>
      <c r="W364" s="11"/>
      <c r="X364" s="11"/>
      <c r="Y364" s="11"/>
      <c r="Z364" s="11"/>
    </row>
    <row r="365">
      <c r="A365" s="18"/>
      <c r="B365" s="11"/>
      <c r="C365" s="11"/>
      <c r="D365" s="11"/>
      <c r="E365" s="11"/>
      <c r="F365" s="11"/>
      <c r="G365" s="11"/>
      <c r="H365" s="11"/>
      <c r="I365" s="11"/>
      <c r="J365" s="11"/>
      <c r="K365" s="11"/>
      <c r="L365" s="15"/>
      <c r="M365" s="15"/>
      <c r="N365" s="15"/>
      <c r="O365" s="15"/>
      <c r="P365" s="15"/>
      <c r="Q365" s="11"/>
      <c r="R365" s="11"/>
      <c r="S365" s="11"/>
      <c r="T365" s="11"/>
      <c r="U365" s="15"/>
      <c r="V365" s="11"/>
      <c r="W365" s="11"/>
      <c r="X365" s="11"/>
      <c r="Y365" s="11"/>
      <c r="Z365" s="11"/>
    </row>
    <row r="366">
      <c r="A366" s="18"/>
      <c r="B366" s="11"/>
      <c r="C366" s="11"/>
      <c r="D366" s="11"/>
      <c r="E366" s="11"/>
      <c r="F366" s="11"/>
      <c r="G366" s="11"/>
      <c r="H366" s="11"/>
      <c r="I366" s="11"/>
      <c r="J366" s="11"/>
      <c r="K366" s="11"/>
      <c r="L366" s="15"/>
      <c r="M366" s="15"/>
      <c r="N366" s="15"/>
      <c r="O366" s="15"/>
      <c r="P366" s="15"/>
      <c r="Q366" s="11"/>
      <c r="R366" s="11"/>
      <c r="S366" s="11"/>
      <c r="T366" s="11"/>
      <c r="U366" s="15"/>
      <c r="V366" s="11"/>
      <c r="W366" s="11"/>
      <c r="X366" s="11"/>
      <c r="Y366" s="11"/>
      <c r="Z366" s="11"/>
    </row>
    <row r="367">
      <c r="A367" s="18"/>
      <c r="B367" s="11"/>
      <c r="C367" s="11"/>
      <c r="D367" s="11"/>
      <c r="E367" s="11"/>
      <c r="F367" s="11"/>
      <c r="G367" s="11"/>
      <c r="H367" s="11"/>
      <c r="I367" s="11"/>
      <c r="J367" s="11"/>
      <c r="K367" s="11"/>
      <c r="L367" s="15"/>
      <c r="M367" s="15"/>
      <c r="N367" s="15"/>
      <c r="O367" s="15"/>
      <c r="P367" s="15"/>
      <c r="Q367" s="11"/>
      <c r="R367" s="11"/>
      <c r="S367" s="11"/>
      <c r="T367" s="11"/>
      <c r="U367" s="15"/>
      <c r="V367" s="11"/>
      <c r="W367" s="11"/>
      <c r="X367" s="11"/>
      <c r="Y367" s="11"/>
      <c r="Z367" s="11"/>
    </row>
    <row r="368">
      <c r="A368" s="18"/>
      <c r="B368" s="11"/>
      <c r="C368" s="11"/>
      <c r="D368" s="11"/>
      <c r="E368" s="11"/>
      <c r="F368" s="11"/>
      <c r="G368" s="11"/>
      <c r="H368" s="11"/>
      <c r="I368" s="11"/>
      <c r="J368" s="11"/>
      <c r="K368" s="11"/>
      <c r="L368" s="15"/>
      <c r="M368" s="15"/>
      <c r="N368" s="15"/>
      <c r="O368" s="15"/>
      <c r="P368" s="15"/>
      <c r="Q368" s="11"/>
      <c r="R368" s="11"/>
      <c r="S368" s="11"/>
      <c r="T368" s="11"/>
      <c r="U368" s="15"/>
      <c r="V368" s="11"/>
      <c r="W368" s="11"/>
      <c r="X368" s="11"/>
      <c r="Y368" s="11"/>
      <c r="Z368" s="11"/>
    </row>
    <row r="369">
      <c r="A369" s="18"/>
      <c r="B369" s="11"/>
      <c r="C369" s="11"/>
      <c r="D369" s="11"/>
      <c r="E369" s="11"/>
      <c r="F369" s="11"/>
      <c r="G369" s="11"/>
      <c r="H369" s="11"/>
      <c r="I369" s="11"/>
      <c r="J369" s="11"/>
      <c r="K369" s="11"/>
      <c r="L369" s="15"/>
      <c r="M369" s="15"/>
      <c r="N369" s="15"/>
      <c r="O369" s="15"/>
      <c r="P369" s="15"/>
      <c r="Q369" s="11"/>
      <c r="R369" s="11"/>
      <c r="S369" s="11"/>
      <c r="T369" s="11"/>
      <c r="U369" s="15"/>
      <c r="V369" s="11"/>
      <c r="W369" s="11"/>
      <c r="X369" s="11"/>
      <c r="Y369" s="11"/>
      <c r="Z369" s="11"/>
    </row>
    <row r="370">
      <c r="A370" s="18"/>
      <c r="B370" s="11"/>
      <c r="C370" s="11"/>
      <c r="D370" s="11"/>
      <c r="E370" s="11"/>
      <c r="F370" s="11"/>
      <c r="G370" s="11"/>
      <c r="H370" s="11"/>
      <c r="I370" s="11"/>
      <c r="J370" s="11"/>
      <c r="K370" s="11"/>
      <c r="L370" s="15"/>
      <c r="M370" s="15"/>
      <c r="N370" s="15"/>
      <c r="O370" s="15"/>
      <c r="P370" s="15"/>
      <c r="Q370" s="11"/>
      <c r="R370" s="11"/>
      <c r="S370" s="11"/>
      <c r="T370" s="11"/>
      <c r="U370" s="15"/>
      <c r="V370" s="11"/>
      <c r="W370" s="11"/>
      <c r="X370" s="11"/>
      <c r="Y370" s="11"/>
      <c r="Z370" s="11"/>
    </row>
    <row r="371">
      <c r="A371" s="18"/>
      <c r="B371" s="11"/>
      <c r="C371" s="11"/>
      <c r="D371" s="11"/>
      <c r="E371" s="11"/>
      <c r="F371" s="11"/>
      <c r="G371" s="11"/>
      <c r="H371" s="11"/>
      <c r="I371" s="11"/>
      <c r="J371" s="11"/>
      <c r="K371" s="11"/>
      <c r="L371" s="15"/>
      <c r="M371" s="15"/>
      <c r="N371" s="15"/>
      <c r="O371" s="15"/>
      <c r="P371" s="15"/>
      <c r="Q371" s="11"/>
      <c r="R371" s="11"/>
      <c r="S371" s="11"/>
      <c r="T371" s="11"/>
      <c r="U371" s="15"/>
      <c r="V371" s="11"/>
      <c r="W371" s="11"/>
      <c r="X371" s="11"/>
      <c r="Y371" s="11"/>
      <c r="Z371" s="11"/>
    </row>
    <row r="372">
      <c r="A372" s="18"/>
      <c r="B372" s="11"/>
      <c r="C372" s="11"/>
      <c r="D372" s="11"/>
      <c r="E372" s="11"/>
      <c r="F372" s="11"/>
      <c r="G372" s="11"/>
      <c r="H372" s="11"/>
      <c r="I372" s="11"/>
      <c r="J372" s="11"/>
      <c r="K372" s="11"/>
      <c r="L372" s="15"/>
      <c r="M372" s="15"/>
      <c r="N372" s="15"/>
      <c r="O372" s="15"/>
      <c r="P372" s="15"/>
      <c r="Q372" s="11"/>
      <c r="R372" s="11"/>
      <c r="S372" s="11"/>
      <c r="T372" s="11"/>
      <c r="U372" s="15"/>
      <c r="V372" s="11"/>
      <c r="W372" s="11"/>
      <c r="X372" s="11"/>
      <c r="Y372" s="11"/>
      <c r="Z372" s="11"/>
    </row>
    <row r="373">
      <c r="A373" s="18"/>
      <c r="B373" s="11"/>
      <c r="C373" s="11"/>
      <c r="D373" s="11"/>
      <c r="E373" s="11"/>
      <c r="F373" s="11"/>
      <c r="G373" s="11"/>
      <c r="H373" s="11"/>
      <c r="I373" s="11"/>
      <c r="J373" s="11"/>
      <c r="K373" s="11"/>
      <c r="L373" s="15"/>
      <c r="M373" s="15"/>
      <c r="N373" s="15"/>
      <c r="O373" s="15"/>
      <c r="P373" s="15"/>
      <c r="Q373" s="11"/>
      <c r="R373" s="11"/>
      <c r="S373" s="11"/>
      <c r="T373" s="11"/>
      <c r="U373" s="15"/>
      <c r="V373" s="11"/>
      <c r="W373" s="11"/>
      <c r="X373" s="11"/>
      <c r="Y373" s="11"/>
      <c r="Z373" s="11"/>
    </row>
    <row r="374">
      <c r="A374" s="18"/>
      <c r="B374" s="11"/>
      <c r="C374" s="11"/>
      <c r="D374" s="11"/>
      <c r="E374" s="11"/>
      <c r="F374" s="11"/>
      <c r="G374" s="11"/>
      <c r="H374" s="11"/>
      <c r="I374" s="11"/>
      <c r="J374" s="11"/>
      <c r="K374" s="11"/>
      <c r="L374" s="15"/>
      <c r="M374" s="15"/>
      <c r="N374" s="15"/>
      <c r="O374" s="15"/>
      <c r="P374" s="15"/>
      <c r="Q374" s="11"/>
      <c r="R374" s="11"/>
      <c r="S374" s="11"/>
      <c r="T374" s="11"/>
      <c r="U374" s="15"/>
      <c r="V374" s="11"/>
      <c r="W374" s="11"/>
      <c r="X374" s="11"/>
      <c r="Y374" s="11"/>
      <c r="Z374" s="11"/>
    </row>
    <row r="375">
      <c r="A375" s="18"/>
      <c r="B375" s="11"/>
      <c r="C375" s="11"/>
      <c r="D375" s="11"/>
      <c r="E375" s="11"/>
      <c r="F375" s="11"/>
      <c r="G375" s="11"/>
      <c r="H375" s="11"/>
      <c r="I375" s="11"/>
      <c r="J375" s="11"/>
      <c r="K375" s="11"/>
      <c r="L375" s="15"/>
      <c r="M375" s="15"/>
      <c r="N375" s="15"/>
      <c r="O375" s="15"/>
      <c r="P375" s="15"/>
      <c r="Q375" s="11"/>
      <c r="R375" s="11"/>
      <c r="S375" s="11"/>
      <c r="T375" s="11"/>
      <c r="U375" s="15"/>
      <c r="V375" s="11"/>
      <c r="W375" s="11"/>
      <c r="X375" s="11"/>
      <c r="Y375" s="11"/>
      <c r="Z375" s="11"/>
    </row>
    <row r="376">
      <c r="A376" s="18"/>
      <c r="B376" s="11"/>
      <c r="C376" s="11"/>
      <c r="D376" s="11"/>
      <c r="E376" s="11"/>
      <c r="F376" s="11"/>
      <c r="G376" s="11"/>
      <c r="H376" s="11"/>
      <c r="I376" s="11"/>
      <c r="J376" s="11"/>
      <c r="K376" s="11"/>
      <c r="L376" s="15"/>
      <c r="M376" s="15"/>
      <c r="N376" s="15"/>
      <c r="O376" s="15"/>
      <c r="P376" s="15"/>
      <c r="Q376" s="11"/>
      <c r="R376" s="11"/>
      <c r="S376" s="11"/>
      <c r="T376" s="11"/>
      <c r="U376" s="15"/>
      <c r="V376" s="11"/>
      <c r="W376" s="11"/>
      <c r="X376" s="11"/>
      <c r="Y376" s="11"/>
      <c r="Z376" s="11"/>
    </row>
    <row r="377">
      <c r="A377" s="18"/>
      <c r="B377" s="11"/>
      <c r="C377" s="11"/>
      <c r="D377" s="11"/>
      <c r="E377" s="11"/>
      <c r="F377" s="11"/>
      <c r="G377" s="11"/>
      <c r="H377" s="11"/>
      <c r="I377" s="11"/>
      <c r="J377" s="11"/>
      <c r="K377" s="11"/>
      <c r="L377" s="15"/>
      <c r="M377" s="15"/>
      <c r="N377" s="15"/>
      <c r="O377" s="15"/>
      <c r="P377" s="15"/>
      <c r="Q377" s="11"/>
      <c r="R377" s="11"/>
      <c r="S377" s="11"/>
      <c r="T377" s="11"/>
      <c r="U377" s="15"/>
      <c r="V377" s="11"/>
      <c r="W377" s="11"/>
      <c r="X377" s="11"/>
      <c r="Y377" s="11"/>
      <c r="Z377" s="11"/>
    </row>
    <row r="378">
      <c r="A378" s="18"/>
      <c r="B378" s="11"/>
      <c r="C378" s="11"/>
      <c r="D378" s="11"/>
      <c r="E378" s="11"/>
      <c r="F378" s="11"/>
      <c r="G378" s="11"/>
      <c r="H378" s="11"/>
      <c r="I378" s="11"/>
      <c r="J378" s="11"/>
      <c r="K378" s="11"/>
      <c r="L378" s="15"/>
      <c r="M378" s="15"/>
      <c r="N378" s="15"/>
      <c r="O378" s="15"/>
      <c r="P378" s="15"/>
      <c r="Q378" s="11"/>
      <c r="R378" s="11"/>
      <c r="S378" s="11"/>
      <c r="T378" s="11"/>
      <c r="U378" s="15"/>
      <c r="V378" s="11"/>
      <c r="W378" s="11"/>
      <c r="X378" s="11"/>
      <c r="Y378" s="11"/>
      <c r="Z378" s="11"/>
    </row>
    <row r="379">
      <c r="A379" s="18"/>
      <c r="B379" s="11"/>
      <c r="C379" s="11"/>
      <c r="D379" s="11"/>
      <c r="E379" s="11"/>
      <c r="F379" s="11"/>
      <c r="G379" s="11"/>
      <c r="H379" s="11"/>
      <c r="I379" s="11"/>
      <c r="J379" s="11"/>
      <c r="K379" s="11"/>
      <c r="L379" s="15"/>
      <c r="M379" s="15"/>
      <c r="N379" s="15"/>
      <c r="O379" s="15"/>
      <c r="P379" s="15"/>
      <c r="Q379" s="11"/>
      <c r="R379" s="11"/>
      <c r="S379" s="11"/>
      <c r="T379" s="11"/>
      <c r="U379" s="15"/>
      <c r="V379" s="11"/>
      <c r="W379" s="11"/>
      <c r="X379" s="11"/>
      <c r="Y379" s="11"/>
      <c r="Z379" s="11"/>
    </row>
    <row r="380">
      <c r="A380" s="18"/>
      <c r="B380" s="11"/>
      <c r="C380" s="11"/>
      <c r="D380" s="11"/>
      <c r="E380" s="11"/>
      <c r="F380" s="11"/>
      <c r="G380" s="11"/>
      <c r="H380" s="11"/>
      <c r="I380" s="11"/>
      <c r="J380" s="11"/>
      <c r="K380" s="11"/>
      <c r="L380" s="15"/>
      <c r="M380" s="15"/>
      <c r="N380" s="15"/>
      <c r="O380" s="15"/>
      <c r="P380" s="15"/>
      <c r="Q380" s="11"/>
      <c r="R380" s="11"/>
      <c r="S380" s="11"/>
      <c r="T380" s="11"/>
      <c r="U380" s="15"/>
      <c r="V380" s="11"/>
      <c r="W380" s="11"/>
      <c r="X380" s="11"/>
      <c r="Y380" s="11"/>
      <c r="Z380" s="11"/>
    </row>
    <row r="381">
      <c r="A381" s="18"/>
      <c r="B381" s="11"/>
      <c r="C381" s="11"/>
      <c r="D381" s="11"/>
      <c r="E381" s="11"/>
      <c r="F381" s="11"/>
      <c r="G381" s="11"/>
      <c r="H381" s="11"/>
      <c r="I381" s="11"/>
      <c r="J381" s="11"/>
      <c r="K381" s="11"/>
      <c r="L381" s="15"/>
      <c r="M381" s="15"/>
      <c r="N381" s="15"/>
      <c r="O381" s="15"/>
      <c r="P381" s="15"/>
      <c r="Q381" s="11"/>
      <c r="R381" s="11"/>
      <c r="S381" s="11"/>
      <c r="T381" s="11"/>
      <c r="U381" s="15"/>
      <c r="V381" s="11"/>
      <c r="W381" s="11"/>
      <c r="X381" s="11"/>
      <c r="Y381" s="11"/>
      <c r="Z381" s="11"/>
    </row>
    <row r="382">
      <c r="A382" s="18"/>
      <c r="B382" s="11"/>
      <c r="C382" s="11"/>
      <c r="D382" s="11"/>
      <c r="E382" s="11"/>
      <c r="F382" s="11"/>
      <c r="G382" s="11"/>
      <c r="H382" s="11"/>
      <c r="I382" s="11"/>
      <c r="J382" s="11"/>
      <c r="K382" s="11"/>
      <c r="L382" s="15"/>
      <c r="M382" s="15"/>
      <c r="N382" s="15"/>
      <c r="O382" s="15"/>
      <c r="P382" s="15"/>
      <c r="Q382" s="11"/>
      <c r="R382" s="11"/>
      <c r="S382" s="11"/>
      <c r="T382" s="11"/>
      <c r="U382" s="15"/>
      <c r="V382" s="11"/>
      <c r="W382" s="11"/>
      <c r="X382" s="11"/>
      <c r="Y382" s="11"/>
      <c r="Z382" s="11"/>
    </row>
    <row r="383">
      <c r="A383" s="18"/>
      <c r="B383" s="11"/>
      <c r="C383" s="11"/>
      <c r="D383" s="11"/>
      <c r="E383" s="11"/>
      <c r="F383" s="11"/>
      <c r="G383" s="11"/>
      <c r="H383" s="11"/>
      <c r="I383" s="11"/>
      <c r="J383" s="11"/>
      <c r="K383" s="11"/>
      <c r="L383" s="15"/>
      <c r="M383" s="15"/>
      <c r="N383" s="15"/>
      <c r="O383" s="15"/>
      <c r="P383" s="15"/>
      <c r="Q383" s="11"/>
      <c r="R383" s="11"/>
      <c r="S383" s="11"/>
      <c r="T383" s="11"/>
      <c r="U383" s="15"/>
      <c r="V383" s="11"/>
      <c r="W383" s="11"/>
      <c r="X383" s="11"/>
      <c r="Y383" s="11"/>
      <c r="Z383" s="11"/>
    </row>
    <row r="384">
      <c r="A384" s="18"/>
      <c r="B384" s="11"/>
      <c r="C384" s="11"/>
      <c r="D384" s="11"/>
      <c r="E384" s="11"/>
      <c r="F384" s="11"/>
      <c r="G384" s="11"/>
      <c r="H384" s="11"/>
      <c r="I384" s="11"/>
      <c r="J384" s="11"/>
      <c r="K384" s="11"/>
      <c r="L384" s="15"/>
      <c r="M384" s="15"/>
      <c r="N384" s="15"/>
      <c r="O384" s="15"/>
      <c r="P384" s="15"/>
      <c r="Q384" s="11"/>
      <c r="R384" s="11"/>
      <c r="S384" s="11"/>
      <c r="T384" s="11"/>
      <c r="U384" s="15"/>
      <c r="V384" s="11"/>
      <c r="W384" s="11"/>
      <c r="X384" s="11"/>
      <c r="Y384" s="11"/>
      <c r="Z384" s="11"/>
    </row>
    <row r="385">
      <c r="A385" s="18"/>
      <c r="B385" s="11"/>
      <c r="C385" s="11"/>
      <c r="D385" s="11"/>
      <c r="E385" s="11"/>
      <c r="F385" s="11"/>
      <c r="G385" s="11"/>
      <c r="H385" s="11"/>
      <c r="I385" s="11"/>
      <c r="J385" s="11"/>
      <c r="K385" s="11"/>
      <c r="L385" s="15"/>
      <c r="M385" s="15"/>
      <c r="N385" s="15"/>
      <c r="O385" s="15"/>
      <c r="P385" s="15"/>
      <c r="Q385" s="11"/>
      <c r="R385" s="11"/>
      <c r="S385" s="11"/>
      <c r="T385" s="11"/>
      <c r="U385" s="15"/>
      <c r="V385" s="11"/>
      <c r="W385" s="11"/>
      <c r="X385" s="11"/>
      <c r="Y385" s="11"/>
      <c r="Z385" s="11"/>
    </row>
    <row r="386">
      <c r="A386" s="18"/>
      <c r="B386" s="11"/>
      <c r="C386" s="11"/>
      <c r="D386" s="11"/>
      <c r="E386" s="11"/>
      <c r="F386" s="11"/>
      <c r="G386" s="11"/>
      <c r="H386" s="11"/>
      <c r="I386" s="11"/>
      <c r="J386" s="11"/>
      <c r="K386" s="11"/>
      <c r="L386" s="15"/>
      <c r="M386" s="15"/>
      <c r="N386" s="15"/>
      <c r="O386" s="15"/>
      <c r="P386" s="15"/>
      <c r="Q386" s="11"/>
      <c r="R386" s="11"/>
      <c r="S386" s="11"/>
      <c r="T386" s="11"/>
      <c r="U386" s="15"/>
      <c r="V386" s="11"/>
      <c r="W386" s="11"/>
      <c r="X386" s="11"/>
      <c r="Y386" s="11"/>
      <c r="Z386" s="11"/>
    </row>
    <row r="387">
      <c r="A387" s="18"/>
      <c r="B387" s="11"/>
      <c r="C387" s="11"/>
      <c r="D387" s="11"/>
      <c r="E387" s="11"/>
      <c r="F387" s="11"/>
      <c r="G387" s="11"/>
      <c r="H387" s="11"/>
      <c r="I387" s="11"/>
      <c r="J387" s="11"/>
      <c r="K387" s="11"/>
      <c r="L387" s="15"/>
      <c r="M387" s="15"/>
      <c r="N387" s="15"/>
      <c r="O387" s="15"/>
      <c r="P387" s="15"/>
      <c r="Q387" s="11"/>
      <c r="R387" s="11"/>
      <c r="S387" s="11"/>
      <c r="T387" s="11"/>
      <c r="U387" s="15"/>
      <c r="V387" s="11"/>
      <c r="W387" s="11"/>
      <c r="X387" s="11"/>
      <c r="Y387" s="11"/>
      <c r="Z387" s="11"/>
    </row>
    <row r="388">
      <c r="A388" s="18"/>
      <c r="B388" s="11"/>
      <c r="C388" s="11"/>
      <c r="D388" s="11"/>
      <c r="E388" s="11"/>
      <c r="F388" s="11"/>
      <c r="G388" s="11"/>
      <c r="H388" s="11"/>
      <c r="I388" s="11"/>
      <c r="J388" s="11"/>
      <c r="K388" s="11"/>
      <c r="L388" s="15"/>
      <c r="M388" s="15"/>
      <c r="N388" s="15"/>
      <c r="O388" s="15"/>
      <c r="P388" s="15"/>
      <c r="Q388" s="11"/>
      <c r="R388" s="11"/>
      <c r="S388" s="11"/>
      <c r="T388" s="11"/>
      <c r="U388" s="15"/>
      <c r="V388" s="11"/>
      <c r="W388" s="11"/>
      <c r="X388" s="11"/>
      <c r="Y388" s="11"/>
      <c r="Z388" s="11"/>
    </row>
    <row r="389">
      <c r="A389" s="18"/>
      <c r="B389" s="11"/>
      <c r="C389" s="11"/>
      <c r="D389" s="11"/>
      <c r="E389" s="11"/>
      <c r="F389" s="11"/>
      <c r="G389" s="11"/>
      <c r="H389" s="11"/>
      <c r="I389" s="11"/>
      <c r="J389" s="11"/>
      <c r="K389" s="11"/>
      <c r="L389" s="15"/>
      <c r="M389" s="15"/>
      <c r="N389" s="15"/>
      <c r="O389" s="15"/>
      <c r="P389" s="15"/>
      <c r="Q389" s="11"/>
      <c r="R389" s="11"/>
      <c r="S389" s="11"/>
      <c r="T389" s="11"/>
      <c r="U389" s="15"/>
      <c r="V389" s="11"/>
      <c r="W389" s="11"/>
      <c r="X389" s="11"/>
      <c r="Y389" s="11"/>
      <c r="Z389" s="11"/>
    </row>
    <row r="390">
      <c r="A390" s="18"/>
      <c r="B390" s="11"/>
      <c r="C390" s="11"/>
      <c r="D390" s="11"/>
      <c r="E390" s="11"/>
      <c r="F390" s="11"/>
      <c r="G390" s="11"/>
      <c r="H390" s="11"/>
      <c r="I390" s="11"/>
      <c r="J390" s="11"/>
      <c r="K390" s="11"/>
      <c r="L390" s="15"/>
      <c r="M390" s="15"/>
      <c r="N390" s="15"/>
      <c r="O390" s="15"/>
      <c r="P390" s="15"/>
      <c r="Q390" s="11"/>
      <c r="R390" s="11"/>
      <c r="S390" s="11"/>
      <c r="T390" s="11"/>
      <c r="U390" s="15"/>
      <c r="V390" s="11"/>
      <c r="W390" s="11"/>
      <c r="X390" s="11"/>
      <c r="Y390" s="11"/>
      <c r="Z390" s="11"/>
    </row>
    <row r="391">
      <c r="A391" s="18"/>
      <c r="B391" s="11"/>
      <c r="C391" s="11"/>
      <c r="D391" s="11"/>
      <c r="E391" s="11"/>
      <c r="F391" s="11"/>
      <c r="G391" s="11"/>
      <c r="H391" s="11"/>
      <c r="I391" s="11"/>
      <c r="J391" s="11"/>
      <c r="K391" s="11"/>
      <c r="L391" s="15"/>
      <c r="M391" s="15"/>
      <c r="N391" s="15"/>
      <c r="O391" s="15"/>
      <c r="P391" s="15"/>
      <c r="Q391" s="11"/>
      <c r="R391" s="11"/>
      <c r="S391" s="11"/>
      <c r="T391" s="11"/>
      <c r="U391" s="15"/>
      <c r="V391" s="11"/>
      <c r="W391" s="11"/>
      <c r="X391" s="11"/>
      <c r="Y391" s="11"/>
      <c r="Z391" s="11"/>
    </row>
    <row r="392">
      <c r="A392" s="18"/>
      <c r="B392" s="11"/>
      <c r="C392" s="11"/>
      <c r="D392" s="11"/>
      <c r="E392" s="11"/>
      <c r="F392" s="11"/>
      <c r="G392" s="11"/>
      <c r="H392" s="11"/>
      <c r="I392" s="11"/>
      <c r="J392" s="11"/>
      <c r="K392" s="11"/>
      <c r="L392" s="15"/>
      <c r="M392" s="15"/>
      <c r="N392" s="15"/>
      <c r="O392" s="15"/>
      <c r="P392" s="15"/>
      <c r="Q392" s="11"/>
      <c r="R392" s="11"/>
      <c r="S392" s="11"/>
      <c r="T392" s="11"/>
      <c r="U392" s="15"/>
      <c r="V392" s="11"/>
      <c r="W392" s="11"/>
      <c r="X392" s="11"/>
      <c r="Y392" s="11"/>
      <c r="Z392" s="11"/>
    </row>
    <row r="393">
      <c r="A393" s="18"/>
      <c r="B393" s="11"/>
      <c r="C393" s="11"/>
      <c r="D393" s="11"/>
      <c r="E393" s="11"/>
      <c r="F393" s="11"/>
      <c r="G393" s="11"/>
      <c r="H393" s="11"/>
      <c r="I393" s="11"/>
      <c r="J393" s="11"/>
      <c r="K393" s="11"/>
      <c r="L393" s="15"/>
      <c r="M393" s="15"/>
      <c r="N393" s="15"/>
      <c r="O393" s="15"/>
      <c r="P393" s="15"/>
      <c r="Q393" s="11"/>
      <c r="R393" s="11"/>
      <c r="S393" s="11"/>
      <c r="T393" s="11"/>
      <c r="U393" s="15"/>
      <c r="V393" s="11"/>
      <c r="W393" s="11"/>
      <c r="X393" s="11"/>
      <c r="Y393" s="11"/>
      <c r="Z393" s="11"/>
    </row>
    <row r="394">
      <c r="A394" s="18"/>
      <c r="B394" s="11"/>
      <c r="C394" s="11"/>
      <c r="D394" s="11"/>
      <c r="E394" s="11"/>
      <c r="F394" s="11"/>
      <c r="G394" s="11"/>
      <c r="H394" s="11"/>
      <c r="I394" s="11"/>
      <c r="J394" s="11"/>
      <c r="K394" s="11"/>
      <c r="L394" s="15"/>
      <c r="M394" s="15"/>
      <c r="N394" s="15"/>
      <c r="O394" s="15"/>
      <c r="P394" s="15"/>
      <c r="Q394" s="11"/>
      <c r="R394" s="11"/>
      <c r="S394" s="11"/>
      <c r="T394" s="11"/>
      <c r="U394" s="15"/>
      <c r="V394" s="11"/>
      <c r="W394" s="11"/>
      <c r="X394" s="11"/>
      <c r="Y394" s="11"/>
      <c r="Z394" s="11"/>
    </row>
    <row r="395">
      <c r="A395" s="18"/>
      <c r="B395" s="11"/>
      <c r="C395" s="11"/>
      <c r="D395" s="11"/>
      <c r="E395" s="11"/>
      <c r="F395" s="11"/>
      <c r="G395" s="11"/>
      <c r="H395" s="11"/>
      <c r="I395" s="11"/>
      <c r="J395" s="11"/>
      <c r="K395" s="11"/>
      <c r="L395" s="15"/>
      <c r="M395" s="15"/>
      <c r="N395" s="15"/>
      <c r="O395" s="15"/>
      <c r="P395" s="15"/>
      <c r="Q395" s="11"/>
      <c r="R395" s="11"/>
      <c r="S395" s="11"/>
      <c r="T395" s="11"/>
      <c r="U395" s="15"/>
      <c r="V395" s="11"/>
      <c r="W395" s="11"/>
      <c r="X395" s="11"/>
      <c r="Y395" s="11"/>
      <c r="Z395" s="11"/>
    </row>
    <row r="396">
      <c r="A396" s="18"/>
      <c r="B396" s="11"/>
      <c r="C396" s="11"/>
      <c r="D396" s="11"/>
      <c r="E396" s="11"/>
      <c r="F396" s="11"/>
      <c r="G396" s="11"/>
      <c r="H396" s="11"/>
      <c r="I396" s="11"/>
      <c r="J396" s="11"/>
      <c r="K396" s="11"/>
      <c r="L396" s="15"/>
      <c r="M396" s="15"/>
      <c r="N396" s="15"/>
      <c r="O396" s="15"/>
      <c r="P396" s="15"/>
      <c r="Q396" s="11"/>
      <c r="R396" s="11"/>
      <c r="S396" s="11"/>
      <c r="T396" s="11"/>
      <c r="U396" s="15"/>
      <c r="V396" s="11"/>
      <c r="W396" s="11"/>
      <c r="X396" s="11"/>
      <c r="Y396" s="11"/>
      <c r="Z396" s="11"/>
    </row>
    <row r="397">
      <c r="A397" s="18"/>
      <c r="B397" s="11"/>
      <c r="C397" s="11"/>
      <c r="D397" s="11"/>
      <c r="E397" s="11"/>
      <c r="F397" s="11"/>
      <c r="G397" s="11"/>
      <c r="H397" s="11"/>
      <c r="I397" s="11"/>
      <c r="J397" s="11"/>
      <c r="K397" s="11"/>
      <c r="L397" s="15"/>
      <c r="M397" s="15"/>
      <c r="N397" s="15"/>
      <c r="O397" s="15"/>
      <c r="P397" s="15"/>
      <c r="Q397" s="11"/>
      <c r="R397" s="11"/>
      <c r="S397" s="11"/>
      <c r="T397" s="11"/>
      <c r="U397" s="15"/>
      <c r="V397" s="11"/>
      <c r="W397" s="11"/>
      <c r="X397" s="11"/>
      <c r="Y397" s="11"/>
      <c r="Z397" s="11"/>
    </row>
    <row r="398">
      <c r="A398" s="18"/>
      <c r="B398" s="11"/>
      <c r="C398" s="11"/>
      <c r="D398" s="11"/>
      <c r="E398" s="11"/>
      <c r="F398" s="11"/>
      <c r="G398" s="11"/>
      <c r="H398" s="11"/>
      <c r="I398" s="11"/>
      <c r="J398" s="11"/>
      <c r="K398" s="11"/>
      <c r="L398" s="15"/>
      <c r="M398" s="15"/>
      <c r="N398" s="15"/>
      <c r="O398" s="15"/>
      <c r="P398" s="15"/>
      <c r="Q398" s="11"/>
      <c r="R398" s="11"/>
      <c r="S398" s="11"/>
      <c r="T398" s="11"/>
      <c r="U398" s="15"/>
      <c r="V398" s="11"/>
      <c r="W398" s="11"/>
      <c r="X398" s="11"/>
      <c r="Y398" s="11"/>
      <c r="Z398" s="11"/>
    </row>
    <row r="399">
      <c r="A399" s="18"/>
      <c r="B399" s="11"/>
      <c r="C399" s="11"/>
      <c r="D399" s="11"/>
      <c r="E399" s="11"/>
      <c r="F399" s="11"/>
      <c r="G399" s="11"/>
      <c r="H399" s="11"/>
      <c r="I399" s="11"/>
      <c r="J399" s="11"/>
      <c r="K399" s="11"/>
      <c r="L399" s="15"/>
      <c r="M399" s="15"/>
      <c r="N399" s="15"/>
      <c r="O399" s="15"/>
      <c r="P399" s="15"/>
      <c r="Q399" s="11"/>
      <c r="R399" s="11"/>
      <c r="S399" s="11"/>
      <c r="T399" s="11"/>
      <c r="U399" s="15"/>
      <c r="V399" s="11"/>
      <c r="W399" s="11"/>
      <c r="X399" s="11"/>
      <c r="Y399" s="11"/>
      <c r="Z399" s="11"/>
    </row>
    <row r="400">
      <c r="A400" s="18"/>
      <c r="B400" s="11"/>
      <c r="C400" s="11"/>
      <c r="D400" s="11"/>
      <c r="E400" s="11"/>
      <c r="F400" s="11"/>
      <c r="G400" s="11"/>
      <c r="H400" s="11"/>
      <c r="I400" s="11"/>
      <c r="J400" s="11"/>
      <c r="K400" s="11"/>
      <c r="L400" s="15"/>
      <c r="M400" s="15"/>
      <c r="N400" s="15"/>
      <c r="O400" s="15"/>
      <c r="P400" s="15"/>
      <c r="Q400" s="11"/>
      <c r="R400" s="11"/>
      <c r="S400" s="11"/>
      <c r="T400" s="11"/>
      <c r="U400" s="15"/>
      <c r="V400" s="11"/>
      <c r="W400" s="11"/>
      <c r="X400" s="11"/>
      <c r="Y400" s="11"/>
      <c r="Z400" s="11"/>
    </row>
    <row r="401">
      <c r="A401" s="18"/>
      <c r="B401" s="11"/>
      <c r="C401" s="11"/>
      <c r="D401" s="11"/>
      <c r="E401" s="11"/>
      <c r="F401" s="11"/>
      <c r="G401" s="11"/>
      <c r="H401" s="11"/>
      <c r="I401" s="11"/>
      <c r="J401" s="11"/>
      <c r="K401" s="11"/>
      <c r="L401" s="15"/>
      <c r="M401" s="15"/>
      <c r="N401" s="15"/>
      <c r="O401" s="15"/>
      <c r="P401" s="15"/>
      <c r="Q401" s="11"/>
      <c r="R401" s="11"/>
      <c r="S401" s="11"/>
      <c r="T401" s="11"/>
      <c r="U401" s="15"/>
      <c r="V401" s="11"/>
      <c r="W401" s="11"/>
      <c r="X401" s="11"/>
      <c r="Y401" s="11"/>
      <c r="Z401" s="11"/>
    </row>
    <row r="402">
      <c r="A402" s="18"/>
      <c r="B402" s="11"/>
      <c r="C402" s="11"/>
      <c r="D402" s="11"/>
      <c r="E402" s="11"/>
      <c r="F402" s="11"/>
      <c r="G402" s="11"/>
      <c r="H402" s="11"/>
      <c r="I402" s="11"/>
      <c r="J402" s="11"/>
      <c r="K402" s="11"/>
      <c r="L402" s="15"/>
      <c r="M402" s="15"/>
      <c r="N402" s="15"/>
      <c r="O402" s="15"/>
      <c r="P402" s="15"/>
      <c r="Q402" s="11"/>
      <c r="R402" s="11"/>
      <c r="S402" s="11"/>
      <c r="T402" s="11"/>
      <c r="U402" s="15"/>
      <c r="V402" s="11"/>
      <c r="W402" s="11"/>
      <c r="X402" s="11"/>
      <c r="Y402" s="11"/>
      <c r="Z402" s="11"/>
    </row>
    <row r="403">
      <c r="A403" s="18"/>
      <c r="B403" s="11"/>
      <c r="C403" s="11"/>
      <c r="D403" s="11"/>
      <c r="E403" s="11"/>
      <c r="F403" s="11"/>
      <c r="G403" s="11"/>
      <c r="H403" s="11"/>
      <c r="I403" s="11"/>
      <c r="J403" s="11"/>
      <c r="K403" s="11"/>
      <c r="L403" s="15"/>
      <c r="M403" s="15"/>
      <c r="N403" s="15"/>
      <c r="O403" s="15"/>
      <c r="P403" s="15"/>
      <c r="Q403" s="11"/>
      <c r="R403" s="11"/>
      <c r="S403" s="11"/>
      <c r="T403" s="11"/>
      <c r="U403" s="15"/>
      <c r="V403" s="11"/>
      <c r="W403" s="11"/>
      <c r="X403" s="11"/>
      <c r="Y403" s="11"/>
      <c r="Z403" s="11"/>
    </row>
    <row r="404">
      <c r="A404" s="18"/>
      <c r="B404" s="11"/>
      <c r="C404" s="11"/>
      <c r="D404" s="11"/>
      <c r="E404" s="11"/>
      <c r="F404" s="11"/>
      <c r="G404" s="11"/>
      <c r="H404" s="11"/>
      <c r="I404" s="11"/>
      <c r="J404" s="11"/>
      <c r="K404" s="11"/>
      <c r="L404" s="15"/>
      <c r="M404" s="15"/>
      <c r="N404" s="15"/>
      <c r="O404" s="15"/>
      <c r="P404" s="15"/>
      <c r="Q404" s="11"/>
      <c r="R404" s="11"/>
      <c r="S404" s="11"/>
      <c r="T404" s="11"/>
      <c r="U404" s="15"/>
      <c r="V404" s="11"/>
      <c r="W404" s="11"/>
      <c r="X404" s="11"/>
      <c r="Y404" s="11"/>
      <c r="Z404" s="11"/>
    </row>
    <row r="405">
      <c r="A405" s="18"/>
      <c r="B405" s="11"/>
      <c r="C405" s="11"/>
      <c r="D405" s="11"/>
      <c r="E405" s="11"/>
      <c r="F405" s="11"/>
      <c r="G405" s="11"/>
      <c r="H405" s="11"/>
      <c r="I405" s="11"/>
      <c r="J405" s="11"/>
      <c r="K405" s="11"/>
      <c r="L405" s="15"/>
      <c r="M405" s="15"/>
      <c r="N405" s="15"/>
      <c r="O405" s="15"/>
      <c r="P405" s="15"/>
      <c r="Q405" s="11"/>
      <c r="R405" s="11"/>
      <c r="S405" s="11"/>
      <c r="T405" s="11"/>
      <c r="U405" s="15"/>
      <c r="V405" s="11"/>
      <c r="W405" s="11"/>
      <c r="X405" s="11"/>
      <c r="Y405" s="11"/>
      <c r="Z405" s="11"/>
    </row>
    <row r="406">
      <c r="A406" s="18"/>
      <c r="B406" s="11"/>
      <c r="C406" s="11"/>
      <c r="D406" s="11"/>
      <c r="E406" s="11"/>
      <c r="F406" s="11"/>
      <c r="G406" s="11"/>
      <c r="H406" s="11"/>
      <c r="I406" s="11"/>
      <c r="J406" s="11"/>
      <c r="K406" s="11"/>
      <c r="L406" s="15"/>
      <c r="M406" s="15"/>
      <c r="N406" s="15"/>
      <c r="O406" s="15"/>
      <c r="P406" s="15"/>
      <c r="Q406" s="11"/>
      <c r="R406" s="11"/>
      <c r="S406" s="11"/>
      <c r="T406" s="11"/>
      <c r="U406" s="15"/>
      <c r="V406" s="11"/>
      <c r="W406" s="11"/>
      <c r="X406" s="11"/>
      <c r="Y406" s="11"/>
      <c r="Z406" s="11"/>
    </row>
    <row r="407">
      <c r="A407" s="18"/>
      <c r="B407" s="11"/>
      <c r="C407" s="11"/>
      <c r="D407" s="11"/>
      <c r="E407" s="11"/>
      <c r="F407" s="11"/>
      <c r="G407" s="11"/>
      <c r="H407" s="11"/>
      <c r="I407" s="11"/>
      <c r="J407" s="11"/>
      <c r="K407" s="11"/>
      <c r="L407" s="15"/>
      <c r="M407" s="15"/>
      <c r="N407" s="15"/>
      <c r="O407" s="15"/>
      <c r="P407" s="15"/>
      <c r="Q407" s="11"/>
      <c r="R407" s="11"/>
      <c r="S407" s="11"/>
      <c r="T407" s="11"/>
      <c r="U407" s="15"/>
      <c r="V407" s="11"/>
      <c r="W407" s="11"/>
      <c r="X407" s="11"/>
      <c r="Y407" s="11"/>
      <c r="Z407" s="11"/>
    </row>
    <row r="408">
      <c r="A408" s="18"/>
      <c r="B408" s="11"/>
      <c r="C408" s="11"/>
      <c r="D408" s="11"/>
      <c r="E408" s="11"/>
      <c r="F408" s="11"/>
      <c r="G408" s="11"/>
      <c r="H408" s="11"/>
      <c r="I408" s="11"/>
      <c r="J408" s="11"/>
      <c r="K408" s="11"/>
      <c r="L408" s="15"/>
      <c r="M408" s="15"/>
      <c r="N408" s="15"/>
      <c r="O408" s="15"/>
      <c r="P408" s="15"/>
      <c r="Q408" s="11"/>
      <c r="R408" s="11"/>
      <c r="S408" s="11"/>
      <c r="T408" s="11"/>
      <c r="U408" s="15"/>
      <c r="V408" s="11"/>
      <c r="W408" s="11"/>
      <c r="X408" s="11"/>
      <c r="Y408" s="11"/>
      <c r="Z408" s="11"/>
    </row>
    <row r="409">
      <c r="A409" s="18"/>
      <c r="B409" s="11"/>
      <c r="C409" s="11"/>
      <c r="D409" s="11"/>
      <c r="E409" s="11"/>
      <c r="F409" s="11"/>
      <c r="G409" s="11"/>
      <c r="H409" s="11"/>
      <c r="I409" s="11"/>
      <c r="J409" s="11"/>
      <c r="K409" s="11"/>
      <c r="L409" s="15"/>
      <c r="M409" s="15"/>
      <c r="N409" s="15"/>
      <c r="O409" s="15"/>
      <c r="P409" s="15"/>
      <c r="Q409" s="11"/>
      <c r="R409" s="11"/>
      <c r="S409" s="11"/>
      <c r="T409" s="11"/>
      <c r="U409" s="15"/>
      <c r="V409" s="11"/>
      <c r="W409" s="11"/>
      <c r="X409" s="11"/>
      <c r="Y409" s="11"/>
      <c r="Z409" s="11"/>
    </row>
    <row r="410">
      <c r="A410" s="18"/>
      <c r="B410" s="11"/>
      <c r="C410" s="11"/>
      <c r="D410" s="11"/>
      <c r="E410" s="11"/>
      <c r="F410" s="11"/>
      <c r="G410" s="11"/>
      <c r="H410" s="11"/>
      <c r="I410" s="11"/>
      <c r="J410" s="11"/>
      <c r="K410" s="11"/>
      <c r="L410" s="15"/>
      <c r="M410" s="15"/>
      <c r="N410" s="15"/>
      <c r="O410" s="15"/>
      <c r="P410" s="15"/>
      <c r="Q410" s="11"/>
      <c r="R410" s="11"/>
      <c r="S410" s="11"/>
      <c r="T410" s="11"/>
      <c r="U410" s="15"/>
      <c r="V410" s="11"/>
      <c r="W410" s="11"/>
      <c r="X410" s="11"/>
      <c r="Y410" s="11"/>
      <c r="Z410" s="11"/>
    </row>
    <row r="411">
      <c r="A411" s="18"/>
      <c r="B411" s="11"/>
      <c r="C411" s="11"/>
      <c r="D411" s="11"/>
      <c r="E411" s="11"/>
      <c r="F411" s="11"/>
      <c r="G411" s="11"/>
      <c r="H411" s="11"/>
      <c r="I411" s="11"/>
      <c r="J411" s="11"/>
      <c r="K411" s="11"/>
      <c r="L411" s="15"/>
      <c r="M411" s="15"/>
      <c r="N411" s="15"/>
      <c r="O411" s="15"/>
      <c r="P411" s="15"/>
      <c r="Q411" s="11"/>
      <c r="R411" s="11"/>
      <c r="S411" s="11"/>
      <c r="T411" s="11"/>
      <c r="U411" s="15"/>
      <c r="V411" s="11"/>
      <c r="W411" s="11"/>
      <c r="X411" s="11"/>
      <c r="Y411" s="11"/>
      <c r="Z411" s="11"/>
    </row>
    <row r="412">
      <c r="A412" s="18"/>
      <c r="B412" s="11"/>
      <c r="C412" s="11"/>
      <c r="D412" s="11"/>
      <c r="E412" s="11"/>
      <c r="F412" s="11"/>
      <c r="G412" s="11"/>
      <c r="H412" s="11"/>
      <c r="I412" s="11"/>
      <c r="J412" s="11"/>
      <c r="K412" s="11"/>
      <c r="L412" s="15"/>
      <c r="M412" s="15"/>
      <c r="N412" s="15"/>
      <c r="O412" s="15"/>
      <c r="P412" s="15"/>
      <c r="Q412" s="11"/>
      <c r="R412" s="11"/>
      <c r="S412" s="11"/>
      <c r="T412" s="11"/>
      <c r="U412" s="15"/>
      <c r="V412" s="11"/>
      <c r="W412" s="11"/>
      <c r="X412" s="11"/>
      <c r="Y412" s="11"/>
      <c r="Z412" s="11"/>
    </row>
    <row r="413">
      <c r="A413" s="18"/>
      <c r="B413" s="11"/>
      <c r="C413" s="11"/>
      <c r="D413" s="11"/>
      <c r="E413" s="11"/>
      <c r="F413" s="11"/>
      <c r="G413" s="11"/>
      <c r="H413" s="11"/>
      <c r="I413" s="11"/>
      <c r="J413" s="11"/>
      <c r="K413" s="11"/>
      <c r="L413" s="15"/>
      <c r="M413" s="15"/>
      <c r="N413" s="15"/>
      <c r="O413" s="15"/>
      <c r="P413" s="15"/>
      <c r="Q413" s="11"/>
      <c r="R413" s="11"/>
      <c r="S413" s="11"/>
      <c r="T413" s="11"/>
      <c r="U413" s="15"/>
      <c r="V413" s="11"/>
      <c r="W413" s="11"/>
      <c r="X413" s="11"/>
      <c r="Y413" s="11"/>
      <c r="Z413" s="11"/>
    </row>
    <row r="414">
      <c r="A414" s="18"/>
      <c r="B414" s="11"/>
      <c r="C414" s="11"/>
      <c r="D414" s="11"/>
      <c r="E414" s="11"/>
      <c r="F414" s="11"/>
      <c r="G414" s="11"/>
      <c r="H414" s="11"/>
      <c r="I414" s="11"/>
      <c r="J414" s="11"/>
      <c r="K414" s="11"/>
      <c r="L414" s="15"/>
      <c r="M414" s="15"/>
      <c r="N414" s="15"/>
      <c r="O414" s="15"/>
      <c r="P414" s="15"/>
      <c r="Q414" s="11"/>
      <c r="R414" s="11"/>
      <c r="S414" s="11"/>
      <c r="T414" s="11"/>
      <c r="U414" s="15"/>
      <c r="V414" s="11"/>
      <c r="W414" s="11"/>
      <c r="X414" s="11"/>
      <c r="Y414" s="11"/>
      <c r="Z414" s="11"/>
    </row>
    <row r="415">
      <c r="A415" s="18"/>
      <c r="B415" s="11"/>
      <c r="C415" s="11"/>
      <c r="D415" s="11"/>
      <c r="E415" s="11"/>
      <c r="F415" s="11"/>
      <c r="G415" s="11"/>
      <c r="H415" s="11"/>
      <c r="I415" s="11"/>
      <c r="J415" s="11"/>
      <c r="K415" s="11"/>
      <c r="L415" s="15"/>
      <c r="M415" s="15"/>
      <c r="N415" s="15"/>
      <c r="O415" s="15"/>
      <c r="P415" s="15"/>
      <c r="Q415" s="11"/>
      <c r="R415" s="11"/>
      <c r="S415" s="11"/>
      <c r="T415" s="11"/>
      <c r="U415" s="15"/>
      <c r="V415" s="11"/>
      <c r="W415" s="11"/>
      <c r="X415" s="11"/>
      <c r="Y415" s="11"/>
      <c r="Z415" s="11"/>
    </row>
    <row r="416">
      <c r="A416" s="18"/>
      <c r="B416" s="11"/>
      <c r="C416" s="11"/>
      <c r="D416" s="11"/>
      <c r="E416" s="11"/>
      <c r="F416" s="11"/>
      <c r="G416" s="11"/>
      <c r="H416" s="11"/>
      <c r="I416" s="11"/>
      <c r="J416" s="11"/>
      <c r="K416" s="11"/>
      <c r="L416" s="15"/>
      <c r="M416" s="15"/>
      <c r="N416" s="15"/>
      <c r="O416" s="15"/>
      <c r="P416" s="15"/>
      <c r="Q416" s="11"/>
      <c r="R416" s="11"/>
      <c r="S416" s="11"/>
      <c r="T416" s="11"/>
      <c r="U416" s="15"/>
      <c r="V416" s="11"/>
      <c r="W416" s="11"/>
      <c r="X416" s="11"/>
      <c r="Y416" s="11"/>
      <c r="Z416" s="11"/>
    </row>
    <row r="417">
      <c r="A417" s="18"/>
      <c r="B417" s="11"/>
      <c r="C417" s="11"/>
      <c r="D417" s="11"/>
      <c r="E417" s="11"/>
      <c r="F417" s="11"/>
      <c r="G417" s="11"/>
      <c r="H417" s="11"/>
      <c r="I417" s="11"/>
      <c r="J417" s="11"/>
      <c r="K417" s="11"/>
      <c r="L417" s="15"/>
      <c r="M417" s="15"/>
      <c r="N417" s="15"/>
      <c r="O417" s="15"/>
      <c r="P417" s="15"/>
      <c r="Q417" s="11"/>
      <c r="R417" s="11"/>
      <c r="S417" s="11"/>
      <c r="T417" s="11"/>
      <c r="U417" s="15"/>
      <c r="V417" s="11"/>
      <c r="W417" s="11"/>
      <c r="X417" s="11"/>
      <c r="Y417" s="11"/>
      <c r="Z417" s="11"/>
    </row>
    <row r="418">
      <c r="A418" s="18"/>
      <c r="B418" s="11"/>
      <c r="C418" s="11"/>
      <c r="D418" s="11"/>
      <c r="E418" s="11"/>
      <c r="F418" s="11"/>
      <c r="G418" s="11"/>
      <c r="H418" s="11"/>
      <c r="I418" s="11"/>
      <c r="J418" s="11"/>
      <c r="K418" s="11"/>
      <c r="L418" s="15"/>
      <c r="M418" s="15"/>
      <c r="N418" s="15"/>
      <c r="O418" s="15"/>
      <c r="P418" s="15"/>
      <c r="Q418" s="11"/>
      <c r="R418" s="11"/>
      <c r="S418" s="11"/>
      <c r="T418" s="11"/>
      <c r="U418" s="15"/>
      <c r="V418" s="11"/>
      <c r="W418" s="11"/>
      <c r="X418" s="11"/>
      <c r="Y418" s="11"/>
      <c r="Z418" s="11"/>
    </row>
    <row r="419">
      <c r="A419" s="18"/>
      <c r="B419" s="11"/>
      <c r="C419" s="11"/>
      <c r="D419" s="11"/>
      <c r="E419" s="11"/>
      <c r="F419" s="11"/>
      <c r="G419" s="11"/>
      <c r="H419" s="11"/>
      <c r="I419" s="11"/>
      <c r="J419" s="11"/>
      <c r="K419" s="11"/>
      <c r="L419" s="15"/>
      <c r="M419" s="15"/>
      <c r="N419" s="15"/>
      <c r="O419" s="15"/>
      <c r="P419" s="15"/>
      <c r="Q419" s="11"/>
      <c r="R419" s="11"/>
      <c r="S419" s="11"/>
      <c r="T419" s="11"/>
      <c r="U419" s="15"/>
      <c r="V419" s="11"/>
      <c r="W419" s="11"/>
      <c r="X419" s="11"/>
      <c r="Y419" s="11"/>
      <c r="Z419" s="11"/>
    </row>
    <row r="420">
      <c r="A420" s="18"/>
      <c r="B420" s="11"/>
      <c r="C420" s="11"/>
      <c r="D420" s="11"/>
      <c r="E420" s="11"/>
      <c r="F420" s="11"/>
      <c r="G420" s="11"/>
      <c r="H420" s="11"/>
      <c r="I420" s="11"/>
      <c r="J420" s="11"/>
      <c r="K420" s="11"/>
      <c r="L420" s="15"/>
      <c r="M420" s="15"/>
      <c r="N420" s="15"/>
      <c r="O420" s="15"/>
      <c r="P420" s="15"/>
      <c r="Q420" s="11"/>
      <c r="R420" s="11"/>
      <c r="S420" s="11"/>
      <c r="T420" s="11"/>
      <c r="U420" s="15"/>
      <c r="V420" s="11"/>
      <c r="W420" s="11"/>
      <c r="X420" s="11"/>
      <c r="Y420" s="11"/>
      <c r="Z420" s="11"/>
    </row>
    <row r="421">
      <c r="A421" s="18"/>
      <c r="B421" s="11"/>
      <c r="C421" s="11"/>
      <c r="D421" s="11"/>
      <c r="E421" s="11"/>
      <c r="F421" s="11"/>
      <c r="G421" s="11"/>
      <c r="H421" s="11"/>
      <c r="I421" s="11"/>
      <c r="J421" s="11"/>
      <c r="K421" s="11"/>
      <c r="L421" s="15"/>
      <c r="M421" s="15"/>
      <c r="N421" s="15"/>
      <c r="O421" s="15"/>
      <c r="P421" s="15"/>
      <c r="Q421" s="11"/>
      <c r="R421" s="11"/>
      <c r="S421" s="11"/>
      <c r="T421" s="11"/>
      <c r="U421" s="15"/>
      <c r="V421" s="11"/>
      <c r="W421" s="11"/>
      <c r="X421" s="11"/>
      <c r="Y421" s="11"/>
      <c r="Z421" s="11"/>
    </row>
    <row r="422">
      <c r="A422" s="18"/>
      <c r="B422" s="11"/>
      <c r="C422" s="11"/>
      <c r="D422" s="11"/>
      <c r="E422" s="11"/>
      <c r="F422" s="11"/>
      <c r="G422" s="11"/>
      <c r="H422" s="11"/>
      <c r="I422" s="11"/>
      <c r="J422" s="11"/>
      <c r="K422" s="11"/>
      <c r="L422" s="15"/>
      <c r="M422" s="15"/>
      <c r="N422" s="15"/>
      <c r="O422" s="15"/>
      <c r="P422" s="15"/>
      <c r="Q422" s="11"/>
      <c r="R422" s="11"/>
      <c r="S422" s="11"/>
      <c r="T422" s="11"/>
      <c r="U422" s="15"/>
      <c r="V422" s="11"/>
      <c r="W422" s="11"/>
      <c r="X422" s="11"/>
      <c r="Y422" s="11"/>
      <c r="Z422" s="11"/>
    </row>
    <row r="423">
      <c r="A423" s="18"/>
      <c r="B423" s="11"/>
      <c r="C423" s="11"/>
      <c r="D423" s="11"/>
      <c r="E423" s="11"/>
      <c r="F423" s="11"/>
      <c r="G423" s="11"/>
      <c r="H423" s="11"/>
      <c r="I423" s="11"/>
      <c r="J423" s="11"/>
      <c r="K423" s="11"/>
      <c r="L423" s="15"/>
      <c r="M423" s="15"/>
      <c r="N423" s="15"/>
      <c r="O423" s="15"/>
      <c r="P423" s="15"/>
      <c r="Q423" s="11"/>
      <c r="R423" s="11"/>
      <c r="S423" s="11"/>
      <c r="T423" s="11"/>
      <c r="U423" s="15"/>
      <c r="V423" s="11"/>
      <c r="W423" s="11"/>
      <c r="X423" s="11"/>
      <c r="Y423" s="11"/>
      <c r="Z423" s="11"/>
    </row>
    <row r="424">
      <c r="A424" s="18"/>
      <c r="B424" s="11"/>
      <c r="C424" s="11"/>
      <c r="D424" s="11"/>
      <c r="E424" s="11"/>
      <c r="F424" s="11"/>
      <c r="G424" s="11"/>
      <c r="H424" s="11"/>
      <c r="I424" s="11"/>
      <c r="J424" s="11"/>
      <c r="K424" s="11"/>
      <c r="L424" s="15"/>
      <c r="M424" s="15"/>
      <c r="N424" s="15"/>
      <c r="O424" s="15"/>
      <c r="P424" s="15"/>
      <c r="Q424" s="11"/>
      <c r="R424" s="11"/>
      <c r="S424" s="11"/>
      <c r="T424" s="11"/>
      <c r="U424" s="15"/>
      <c r="V424" s="11"/>
      <c r="W424" s="11"/>
      <c r="X424" s="11"/>
      <c r="Y424" s="11"/>
      <c r="Z424" s="11"/>
    </row>
    <row r="425">
      <c r="A425" s="18"/>
      <c r="B425" s="11"/>
      <c r="C425" s="11"/>
      <c r="D425" s="11"/>
      <c r="E425" s="11"/>
      <c r="F425" s="11"/>
      <c r="G425" s="11"/>
      <c r="H425" s="11"/>
      <c r="I425" s="11"/>
      <c r="J425" s="11"/>
      <c r="K425" s="11"/>
      <c r="L425" s="15"/>
      <c r="M425" s="15"/>
      <c r="N425" s="15"/>
      <c r="O425" s="15"/>
      <c r="P425" s="15"/>
      <c r="Q425" s="11"/>
      <c r="R425" s="11"/>
      <c r="S425" s="11"/>
      <c r="T425" s="11"/>
      <c r="U425" s="15"/>
      <c r="V425" s="11"/>
      <c r="W425" s="11"/>
      <c r="X425" s="11"/>
      <c r="Y425" s="11"/>
      <c r="Z425" s="11"/>
    </row>
    <row r="426">
      <c r="A426" s="18"/>
      <c r="B426" s="11"/>
      <c r="C426" s="11"/>
      <c r="D426" s="11"/>
      <c r="E426" s="11"/>
      <c r="F426" s="11"/>
      <c r="G426" s="11"/>
      <c r="H426" s="11"/>
      <c r="I426" s="11"/>
      <c r="J426" s="11"/>
      <c r="K426" s="11"/>
      <c r="L426" s="15"/>
      <c r="M426" s="15"/>
      <c r="N426" s="15"/>
      <c r="O426" s="15"/>
      <c r="P426" s="15"/>
      <c r="Q426" s="11"/>
      <c r="R426" s="11"/>
      <c r="S426" s="11"/>
      <c r="T426" s="11"/>
      <c r="U426" s="15"/>
      <c r="V426" s="11"/>
      <c r="W426" s="11"/>
      <c r="X426" s="11"/>
      <c r="Y426" s="11"/>
      <c r="Z426" s="11"/>
    </row>
    <row r="427">
      <c r="A427" s="18"/>
      <c r="B427" s="11"/>
      <c r="C427" s="11"/>
      <c r="D427" s="11"/>
      <c r="E427" s="11"/>
      <c r="F427" s="11"/>
      <c r="G427" s="11"/>
      <c r="H427" s="11"/>
      <c r="I427" s="11"/>
      <c r="J427" s="11"/>
      <c r="K427" s="11"/>
      <c r="L427" s="15"/>
      <c r="M427" s="15"/>
      <c r="N427" s="15"/>
      <c r="O427" s="15"/>
      <c r="P427" s="15"/>
      <c r="Q427" s="11"/>
      <c r="R427" s="11"/>
      <c r="S427" s="11"/>
      <c r="T427" s="11"/>
      <c r="U427" s="15"/>
      <c r="V427" s="11"/>
      <c r="W427" s="11"/>
      <c r="X427" s="11"/>
      <c r="Y427" s="11"/>
      <c r="Z427" s="11"/>
    </row>
    <row r="428">
      <c r="A428" s="18"/>
      <c r="B428" s="11"/>
      <c r="C428" s="11"/>
      <c r="D428" s="11"/>
      <c r="E428" s="11"/>
      <c r="F428" s="11"/>
      <c r="G428" s="11"/>
      <c r="H428" s="11"/>
      <c r="I428" s="11"/>
      <c r="J428" s="11"/>
      <c r="K428" s="11"/>
      <c r="L428" s="15"/>
      <c r="M428" s="15"/>
      <c r="N428" s="15"/>
      <c r="O428" s="15"/>
      <c r="P428" s="15"/>
      <c r="Q428" s="11"/>
      <c r="R428" s="11"/>
      <c r="S428" s="11"/>
      <c r="T428" s="11"/>
      <c r="U428" s="15"/>
      <c r="V428" s="11"/>
      <c r="W428" s="11"/>
      <c r="X428" s="11"/>
      <c r="Y428" s="11"/>
      <c r="Z428" s="11"/>
    </row>
    <row r="429">
      <c r="A429" s="18"/>
      <c r="B429" s="11"/>
      <c r="C429" s="11"/>
      <c r="D429" s="11"/>
      <c r="E429" s="11"/>
      <c r="F429" s="11"/>
      <c r="G429" s="11"/>
      <c r="H429" s="11"/>
      <c r="I429" s="11"/>
      <c r="J429" s="11"/>
      <c r="K429" s="11"/>
      <c r="L429" s="15"/>
      <c r="M429" s="15"/>
      <c r="N429" s="15"/>
      <c r="O429" s="15"/>
      <c r="P429" s="15"/>
      <c r="Q429" s="11"/>
      <c r="R429" s="11"/>
      <c r="S429" s="11"/>
      <c r="T429" s="11"/>
      <c r="U429" s="15"/>
      <c r="V429" s="11"/>
      <c r="W429" s="11"/>
      <c r="X429" s="11"/>
      <c r="Y429" s="11"/>
      <c r="Z429" s="11"/>
    </row>
    <row r="430">
      <c r="A430" s="18"/>
      <c r="B430" s="11"/>
      <c r="C430" s="11"/>
      <c r="D430" s="11"/>
      <c r="E430" s="11"/>
      <c r="F430" s="11"/>
      <c r="G430" s="11"/>
      <c r="H430" s="11"/>
      <c r="I430" s="11"/>
      <c r="J430" s="11"/>
      <c r="K430" s="11"/>
      <c r="L430" s="15"/>
      <c r="M430" s="15"/>
      <c r="N430" s="15"/>
      <c r="O430" s="15"/>
      <c r="P430" s="15"/>
      <c r="Q430" s="11"/>
      <c r="R430" s="11"/>
      <c r="S430" s="11"/>
      <c r="T430" s="11"/>
      <c r="U430" s="15"/>
      <c r="V430" s="11"/>
      <c r="W430" s="11"/>
      <c r="X430" s="11"/>
      <c r="Y430" s="11"/>
      <c r="Z430" s="11"/>
    </row>
    <row r="431">
      <c r="A431" s="18"/>
      <c r="B431" s="11"/>
      <c r="C431" s="11"/>
      <c r="D431" s="11"/>
      <c r="E431" s="11"/>
      <c r="F431" s="11"/>
      <c r="G431" s="11"/>
      <c r="H431" s="11"/>
      <c r="I431" s="11"/>
      <c r="J431" s="11"/>
      <c r="K431" s="11"/>
      <c r="L431" s="15"/>
      <c r="M431" s="15"/>
      <c r="N431" s="15"/>
      <c r="O431" s="15"/>
      <c r="P431" s="15"/>
      <c r="Q431" s="11"/>
      <c r="R431" s="11"/>
      <c r="S431" s="11"/>
      <c r="T431" s="11"/>
      <c r="U431" s="15"/>
      <c r="V431" s="11"/>
      <c r="W431" s="11"/>
      <c r="X431" s="11"/>
      <c r="Y431" s="11"/>
      <c r="Z431" s="11"/>
    </row>
    <row r="432">
      <c r="A432" s="18"/>
      <c r="B432" s="11"/>
      <c r="C432" s="11"/>
      <c r="D432" s="11"/>
      <c r="E432" s="11"/>
      <c r="F432" s="11"/>
      <c r="G432" s="11"/>
      <c r="H432" s="11"/>
      <c r="I432" s="11"/>
      <c r="J432" s="11"/>
      <c r="K432" s="11"/>
      <c r="L432" s="15"/>
      <c r="M432" s="15"/>
      <c r="N432" s="15"/>
      <c r="O432" s="15"/>
      <c r="P432" s="15"/>
      <c r="Q432" s="11"/>
      <c r="R432" s="11"/>
      <c r="S432" s="11"/>
      <c r="T432" s="11"/>
      <c r="U432" s="15"/>
      <c r="V432" s="11"/>
      <c r="W432" s="11"/>
      <c r="X432" s="11"/>
      <c r="Y432" s="11"/>
      <c r="Z432" s="11"/>
    </row>
    <row r="433">
      <c r="A433" s="18"/>
      <c r="B433" s="11"/>
      <c r="C433" s="11"/>
      <c r="D433" s="11"/>
      <c r="E433" s="11"/>
      <c r="F433" s="11"/>
      <c r="G433" s="11"/>
      <c r="H433" s="11"/>
      <c r="I433" s="11"/>
      <c r="J433" s="11"/>
      <c r="K433" s="11"/>
      <c r="L433" s="15"/>
      <c r="M433" s="15"/>
      <c r="N433" s="15"/>
      <c r="O433" s="15"/>
      <c r="P433" s="15"/>
      <c r="Q433" s="11"/>
      <c r="R433" s="11"/>
      <c r="S433" s="11"/>
      <c r="T433" s="11"/>
      <c r="U433" s="15"/>
      <c r="V433" s="11"/>
      <c r="W433" s="11"/>
      <c r="X433" s="11"/>
      <c r="Y433" s="11"/>
      <c r="Z433" s="11"/>
    </row>
    <row r="434">
      <c r="A434" s="18"/>
      <c r="B434" s="11"/>
      <c r="C434" s="11"/>
      <c r="D434" s="11"/>
      <c r="E434" s="11"/>
      <c r="F434" s="11"/>
      <c r="G434" s="11"/>
      <c r="H434" s="11"/>
      <c r="I434" s="11"/>
      <c r="J434" s="11"/>
      <c r="K434" s="11"/>
      <c r="L434" s="15"/>
      <c r="M434" s="15"/>
      <c r="N434" s="15"/>
      <c r="O434" s="15"/>
      <c r="P434" s="15"/>
      <c r="Q434" s="11"/>
      <c r="R434" s="11"/>
      <c r="S434" s="11"/>
      <c r="T434" s="11"/>
      <c r="U434" s="15"/>
      <c r="V434" s="11"/>
      <c r="W434" s="11"/>
      <c r="X434" s="11"/>
      <c r="Y434" s="11"/>
      <c r="Z434" s="11"/>
    </row>
    <row r="435">
      <c r="A435" s="18"/>
      <c r="B435" s="11"/>
      <c r="C435" s="11"/>
      <c r="D435" s="11"/>
      <c r="E435" s="11"/>
      <c r="F435" s="11"/>
      <c r="G435" s="11"/>
      <c r="H435" s="11"/>
      <c r="I435" s="11"/>
      <c r="J435" s="11"/>
      <c r="K435" s="11"/>
      <c r="L435" s="15"/>
      <c r="M435" s="15"/>
      <c r="N435" s="15"/>
      <c r="O435" s="15"/>
      <c r="P435" s="15"/>
      <c r="Q435" s="11"/>
      <c r="R435" s="11"/>
      <c r="S435" s="11"/>
      <c r="T435" s="11"/>
      <c r="U435" s="15"/>
      <c r="V435" s="11"/>
      <c r="W435" s="11"/>
      <c r="X435" s="11"/>
      <c r="Y435" s="11"/>
      <c r="Z435" s="11"/>
    </row>
    <row r="436">
      <c r="A436" s="18"/>
      <c r="B436" s="11"/>
      <c r="C436" s="11"/>
      <c r="D436" s="11"/>
      <c r="E436" s="11"/>
      <c r="F436" s="11"/>
      <c r="G436" s="11"/>
      <c r="H436" s="11"/>
      <c r="I436" s="11"/>
      <c r="J436" s="11"/>
      <c r="K436" s="11"/>
      <c r="L436" s="15"/>
      <c r="M436" s="15"/>
      <c r="N436" s="15"/>
      <c r="O436" s="15"/>
      <c r="P436" s="15"/>
      <c r="Q436" s="11"/>
      <c r="R436" s="11"/>
      <c r="S436" s="11"/>
      <c r="T436" s="11"/>
      <c r="U436" s="15"/>
      <c r="V436" s="11"/>
      <c r="W436" s="11"/>
      <c r="X436" s="11"/>
      <c r="Y436" s="11"/>
      <c r="Z436" s="11"/>
    </row>
    <row r="437">
      <c r="A437" s="18"/>
      <c r="B437" s="11"/>
      <c r="C437" s="11"/>
      <c r="D437" s="11"/>
      <c r="E437" s="11"/>
      <c r="F437" s="11"/>
      <c r="G437" s="11"/>
      <c r="H437" s="11"/>
      <c r="I437" s="11"/>
      <c r="J437" s="11"/>
      <c r="K437" s="11"/>
      <c r="L437" s="15"/>
      <c r="M437" s="15"/>
      <c r="N437" s="15"/>
      <c r="O437" s="15"/>
      <c r="P437" s="15"/>
      <c r="Q437" s="11"/>
      <c r="R437" s="11"/>
      <c r="S437" s="11"/>
      <c r="T437" s="11"/>
      <c r="U437" s="15"/>
      <c r="V437" s="11"/>
      <c r="W437" s="11"/>
      <c r="X437" s="11"/>
      <c r="Y437" s="11"/>
      <c r="Z437" s="11"/>
    </row>
    <row r="438">
      <c r="A438" s="18"/>
      <c r="B438" s="11"/>
      <c r="C438" s="11"/>
      <c r="D438" s="11"/>
      <c r="E438" s="11"/>
      <c r="F438" s="11"/>
      <c r="G438" s="11"/>
      <c r="H438" s="11"/>
      <c r="I438" s="11"/>
      <c r="J438" s="11"/>
      <c r="K438" s="11"/>
      <c r="L438" s="15"/>
      <c r="M438" s="15"/>
      <c r="N438" s="15"/>
      <c r="O438" s="15"/>
      <c r="P438" s="15"/>
      <c r="Q438" s="11"/>
      <c r="R438" s="11"/>
      <c r="S438" s="11"/>
      <c r="T438" s="11"/>
      <c r="U438" s="15"/>
      <c r="V438" s="11"/>
      <c r="W438" s="11"/>
      <c r="X438" s="11"/>
      <c r="Y438" s="11"/>
      <c r="Z438" s="11"/>
    </row>
    <row r="439">
      <c r="A439" s="18"/>
      <c r="B439" s="11"/>
      <c r="C439" s="11"/>
      <c r="D439" s="11"/>
      <c r="E439" s="11"/>
      <c r="F439" s="11"/>
      <c r="G439" s="11"/>
      <c r="H439" s="11"/>
      <c r="I439" s="11"/>
      <c r="J439" s="11"/>
      <c r="K439" s="11"/>
      <c r="L439" s="15"/>
      <c r="M439" s="15"/>
      <c r="N439" s="15"/>
      <c r="O439" s="15"/>
      <c r="P439" s="15"/>
      <c r="Q439" s="11"/>
      <c r="R439" s="11"/>
      <c r="S439" s="11"/>
      <c r="T439" s="11"/>
      <c r="U439" s="15"/>
      <c r="V439" s="11"/>
      <c r="W439" s="11"/>
      <c r="X439" s="11"/>
      <c r="Y439" s="11"/>
      <c r="Z439" s="11"/>
    </row>
    <row r="440">
      <c r="A440" s="18"/>
      <c r="B440" s="11"/>
      <c r="C440" s="11"/>
      <c r="D440" s="11"/>
      <c r="E440" s="11"/>
      <c r="F440" s="11"/>
      <c r="G440" s="11"/>
      <c r="H440" s="11"/>
      <c r="I440" s="11"/>
      <c r="J440" s="11"/>
      <c r="K440" s="11"/>
      <c r="L440" s="15"/>
      <c r="M440" s="15"/>
      <c r="N440" s="15"/>
      <c r="O440" s="15"/>
      <c r="P440" s="15"/>
      <c r="Q440" s="11"/>
      <c r="R440" s="11"/>
      <c r="S440" s="11"/>
      <c r="T440" s="11"/>
      <c r="U440" s="15"/>
      <c r="V440" s="11"/>
      <c r="W440" s="11"/>
      <c r="X440" s="11"/>
      <c r="Y440" s="11"/>
      <c r="Z440" s="11"/>
    </row>
    <row r="441">
      <c r="A441" s="18"/>
      <c r="B441" s="11"/>
      <c r="C441" s="11"/>
      <c r="D441" s="11"/>
      <c r="E441" s="11"/>
      <c r="F441" s="11"/>
      <c r="G441" s="11"/>
      <c r="H441" s="11"/>
      <c r="I441" s="11"/>
      <c r="J441" s="11"/>
      <c r="K441" s="11"/>
      <c r="L441" s="15"/>
      <c r="M441" s="15"/>
      <c r="N441" s="15"/>
      <c r="O441" s="15"/>
      <c r="P441" s="15"/>
      <c r="Q441" s="11"/>
      <c r="R441" s="11"/>
      <c r="S441" s="11"/>
      <c r="T441" s="11"/>
      <c r="U441" s="15"/>
      <c r="V441" s="11"/>
      <c r="W441" s="11"/>
      <c r="X441" s="11"/>
      <c r="Y441" s="11"/>
      <c r="Z441" s="11"/>
    </row>
    <row r="442">
      <c r="A442" s="18"/>
      <c r="B442" s="11"/>
      <c r="C442" s="11"/>
      <c r="D442" s="11"/>
      <c r="E442" s="11"/>
      <c r="F442" s="11"/>
      <c r="G442" s="11"/>
      <c r="H442" s="11"/>
      <c r="I442" s="11"/>
      <c r="J442" s="11"/>
      <c r="K442" s="11"/>
      <c r="L442" s="15"/>
      <c r="M442" s="15"/>
      <c r="N442" s="15"/>
      <c r="O442" s="15"/>
      <c r="P442" s="15"/>
      <c r="Q442" s="11"/>
      <c r="R442" s="11"/>
      <c r="S442" s="11"/>
      <c r="T442" s="11"/>
      <c r="U442" s="15"/>
      <c r="V442" s="11"/>
      <c r="W442" s="11"/>
      <c r="X442" s="11"/>
      <c r="Y442" s="11"/>
      <c r="Z442" s="11"/>
    </row>
    <row r="443">
      <c r="A443" s="18"/>
      <c r="B443" s="11"/>
      <c r="C443" s="11"/>
      <c r="D443" s="11"/>
      <c r="E443" s="11"/>
      <c r="F443" s="11"/>
      <c r="G443" s="11"/>
      <c r="H443" s="11"/>
      <c r="I443" s="11"/>
      <c r="J443" s="11"/>
      <c r="K443" s="11"/>
      <c r="L443" s="15"/>
      <c r="M443" s="15"/>
      <c r="N443" s="15"/>
      <c r="O443" s="15"/>
      <c r="P443" s="15"/>
      <c r="Q443" s="11"/>
      <c r="R443" s="11"/>
      <c r="S443" s="11"/>
      <c r="T443" s="11"/>
      <c r="U443" s="15"/>
      <c r="V443" s="11"/>
      <c r="W443" s="11"/>
      <c r="X443" s="11"/>
      <c r="Y443" s="11"/>
      <c r="Z443" s="11"/>
    </row>
    <row r="444">
      <c r="A444" s="18"/>
      <c r="B444" s="11"/>
      <c r="C444" s="11"/>
      <c r="D444" s="11"/>
      <c r="E444" s="11"/>
      <c r="F444" s="11"/>
      <c r="G444" s="11"/>
      <c r="H444" s="11"/>
      <c r="I444" s="11"/>
      <c r="J444" s="11"/>
      <c r="K444" s="11"/>
      <c r="L444" s="15"/>
      <c r="M444" s="15"/>
      <c r="N444" s="15"/>
      <c r="O444" s="15"/>
      <c r="P444" s="15"/>
      <c r="Q444" s="11"/>
      <c r="R444" s="11"/>
      <c r="S444" s="11"/>
      <c r="T444" s="11"/>
      <c r="U444" s="15"/>
      <c r="V444" s="11"/>
      <c r="W444" s="11"/>
      <c r="X444" s="11"/>
      <c r="Y444" s="11"/>
      <c r="Z444" s="11"/>
    </row>
    <row r="445">
      <c r="A445" s="18"/>
      <c r="B445" s="11"/>
      <c r="C445" s="11"/>
      <c r="D445" s="11"/>
      <c r="E445" s="11"/>
      <c r="F445" s="11"/>
      <c r="G445" s="11"/>
      <c r="H445" s="11"/>
      <c r="I445" s="11"/>
      <c r="J445" s="11"/>
      <c r="K445" s="11"/>
      <c r="L445" s="15"/>
      <c r="M445" s="15"/>
      <c r="N445" s="15"/>
      <c r="O445" s="15"/>
      <c r="P445" s="15"/>
      <c r="Q445" s="11"/>
      <c r="R445" s="11"/>
      <c r="S445" s="11"/>
      <c r="T445" s="11"/>
      <c r="U445" s="15"/>
      <c r="V445" s="11"/>
      <c r="W445" s="11"/>
      <c r="X445" s="11"/>
      <c r="Y445" s="11"/>
      <c r="Z445" s="11"/>
    </row>
    <row r="446">
      <c r="A446" s="18"/>
      <c r="B446" s="11"/>
      <c r="C446" s="11"/>
      <c r="D446" s="11"/>
      <c r="E446" s="11"/>
      <c r="F446" s="11"/>
      <c r="G446" s="11"/>
      <c r="H446" s="11"/>
      <c r="I446" s="11"/>
      <c r="J446" s="11"/>
      <c r="K446" s="11"/>
      <c r="L446" s="15"/>
      <c r="M446" s="15"/>
      <c r="N446" s="15"/>
      <c r="O446" s="15"/>
      <c r="P446" s="15"/>
      <c r="Q446" s="11"/>
      <c r="R446" s="11"/>
      <c r="S446" s="11"/>
      <c r="T446" s="11"/>
      <c r="U446" s="15"/>
      <c r="V446" s="11"/>
      <c r="W446" s="11"/>
      <c r="X446" s="11"/>
      <c r="Y446" s="11"/>
      <c r="Z446" s="11"/>
    </row>
    <row r="447">
      <c r="A447" s="18"/>
      <c r="B447" s="11"/>
      <c r="C447" s="11"/>
      <c r="D447" s="11"/>
      <c r="E447" s="11"/>
      <c r="F447" s="11"/>
      <c r="G447" s="11"/>
      <c r="H447" s="11"/>
      <c r="I447" s="11"/>
      <c r="J447" s="11"/>
      <c r="K447" s="11"/>
      <c r="L447" s="15"/>
      <c r="M447" s="15"/>
      <c r="N447" s="15"/>
      <c r="O447" s="15"/>
      <c r="P447" s="15"/>
      <c r="Q447" s="11"/>
      <c r="R447" s="11"/>
      <c r="S447" s="11"/>
      <c r="T447" s="11"/>
      <c r="U447" s="15"/>
      <c r="V447" s="11"/>
      <c r="W447" s="11"/>
      <c r="X447" s="11"/>
      <c r="Y447" s="11"/>
      <c r="Z447" s="11"/>
    </row>
    <row r="448">
      <c r="A448" s="18"/>
      <c r="B448" s="11"/>
      <c r="C448" s="11"/>
      <c r="D448" s="11"/>
      <c r="E448" s="11"/>
      <c r="F448" s="11"/>
      <c r="G448" s="11"/>
      <c r="H448" s="11"/>
      <c r="I448" s="11"/>
      <c r="J448" s="11"/>
      <c r="K448" s="11"/>
      <c r="L448" s="15"/>
      <c r="M448" s="15"/>
      <c r="N448" s="15"/>
      <c r="O448" s="15"/>
      <c r="P448" s="15"/>
      <c r="Q448" s="11"/>
      <c r="R448" s="11"/>
      <c r="S448" s="11"/>
      <c r="T448" s="11"/>
      <c r="U448" s="15"/>
      <c r="V448" s="11"/>
      <c r="W448" s="11"/>
      <c r="X448" s="11"/>
      <c r="Y448" s="11"/>
      <c r="Z448" s="11"/>
    </row>
    <row r="449">
      <c r="A449" s="18"/>
      <c r="B449" s="11"/>
      <c r="C449" s="11"/>
      <c r="D449" s="11"/>
      <c r="E449" s="11"/>
      <c r="F449" s="11"/>
      <c r="G449" s="11"/>
      <c r="H449" s="11"/>
      <c r="I449" s="11"/>
      <c r="J449" s="11"/>
      <c r="K449" s="11"/>
      <c r="L449" s="15"/>
      <c r="M449" s="15"/>
      <c r="N449" s="15"/>
      <c r="O449" s="15"/>
      <c r="P449" s="15"/>
      <c r="Q449" s="11"/>
      <c r="R449" s="11"/>
      <c r="S449" s="11"/>
      <c r="T449" s="11"/>
      <c r="U449" s="15"/>
      <c r="V449" s="11"/>
      <c r="W449" s="11"/>
      <c r="X449" s="11"/>
      <c r="Y449" s="11"/>
      <c r="Z449" s="11"/>
    </row>
    <row r="450">
      <c r="A450" s="18"/>
      <c r="B450" s="11"/>
      <c r="C450" s="11"/>
      <c r="D450" s="11"/>
      <c r="E450" s="11"/>
      <c r="F450" s="11"/>
      <c r="G450" s="11"/>
      <c r="H450" s="11"/>
      <c r="I450" s="11"/>
      <c r="J450" s="11"/>
      <c r="K450" s="11"/>
      <c r="L450" s="15"/>
      <c r="M450" s="15"/>
      <c r="N450" s="15"/>
      <c r="O450" s="15"/>
      <c r="P450" s="15"/>
      <c r="Q450" s="11"/>
      <c r="R450" s="11"/>
      <c r="S450" s="11"/>
      <c r="T450" s="11"/>
      <c r="U450" s="15"/>
      <c r="V450" s="11"/>
      <c r="W450" s="11"/>
      <c r="X450" s="11"/>
      <c r="Y450" s="11"/>
      <c r="Z450" s="11"/>
    </row>
    <row r="451">
      <c r="A451" s="18"/>
      <c r="B451" s="11"/>
      <c r="C451" s="11"/>
      <c r="D451" s="11"/>
      <c r="E451" s="11"/>
      <c r="F451" s="11"/>
      <c r="G451" s="11"/>
      <c r="H451" s="11"/>
      <c r="I451" s="11"/>
      <c r="J451" s="11"/>
      <c r="K451" s="11"/>
      <c r="L451" s="15"/>
      <c r="M451" s="15"/>
      <c r="N451" s="15"/>
      <c r="O451" s="15"/>
      <c r="P451" s="15"/>
      <c r="Q451" s="11"/>
      <c r="R451" s="11"/>
      <c r="S451" s="11"/>
      <c r="T451" s="11"/>
      <c r="U451" s="15"/>
      <c r="V451" s="11"/>
      <c r="W451" s="11"/>
      <c r="X451" s="11"/>
      <c r="Y451" s="11"/>
      <c r="Z451" s="11"/>
    </row>
    <row r="452">
      <c r="A452" s="18"/>
      <c r="B452" s="11"/>
      <c r="C452" s="11"/>
      <c r="D452" s="11"/>
      <c r="E452" s="11"/>
      <c r="F452" s="11"/>
      <c r="G452" s="11"/>
      <c r="H452" s="11"/>
      <c r="I452" s="11"/>
      <c r="J452" s="11"/>
      <c r="K452" s="11"/>
      <c r="L452" s="15"/>
      <c r="M452" s="15"/>
      <c r="N452" s="15"/>
      <c r="O452" s="15"/>
      <c r="P452" s="15"/>
      <c r="Q452" s="11"/>
      <c r="R452" s="11"/>
      <c r="S452" s="11"/>
      <c r="T452" s="11"/>
      <c r="U452" s="15"/>
      <c r="V452" s="11"/>
      <c r="W452" s="11"/>
      <c r="X452" s="11"/>
      <c r="Y452" s="11"/>
      <c r="Z452" s="11"/>
    </row>
    <row r="453">
      <c r="A453" s="18"/>
      <c r="B453" s="11"/>
      <c r="C453" s="11"/>
      <c r="D453" s="11"/>
      <c r="E453" s="11"/>
      <c r="F453" s="11"/>
      <c r="G453" s="11"/>
      <c r="H453" s="11"/>
      <c r="I453" s="11"/>
      <c r="J453" s="11"/>
      <c r="K453" s="11"/>
      <c r="L453" s="15"/>
      <c r="M453" s="15"/>
      <c r="N453" s="15"/>
      <c r="O453" s="15"/>
      <c r="P453" s="15"/>
      <c r="Q453" s="11"/>
      <c r="R453" s="11"/>
      <c r="S453" s="11"/>
      <c r="T453" s="11"/>
      <c r="U453" s="15"/>
      <c r="V453" s="11"/>
      <c r="W453" s="11"/>
      <c r="X453" s="11"/>
      <c r="Y453" s="11"/>
      <c r="Z453" s="11"/>
    </row>
    <row r="454">
      <c r="A454" s="18"/>
      <c r="B454" s="11"/>
      <c r="C454" s="11"/>
      <c r="D454" s="11"/>
      <c r="E454" s="11"/>
      <c r="F454" s="11"/>
      <c r="G454" s="11"/>
      <c r="H454" s="11"/>
      <c r="I454" s="11"/>
      <c r="J454" s="11"/>
      <c r="K454" s="11"/>
      <c r="L454" s="15"/>
      <c r="M454" s="15"/>
      <c r="N454" s="15"/>
      <c r="O454" s="15"/>
      <c r="P454" s="15"/>
      <c r="Q454" s="11"/>
      <c r="R454" s="11"/>
      <c r="S454" s="11"/>
      <c r="T454" s="11"/>
      <c r="U454" s="15"/>
      <c r="V454" s="11"/>
      <c r="W454" s="11"/>
      <c r="X454" s="11"/>
      <c r="Y454" s="11"/>
      <c r="Z454" s="11"/>
    </row>
    <row r="455">
      <c r="A455" s="18"/>
      <c r="B455" s="11"/>
      <c r="C455" s="11"/>
      <c r="D455" s="11"/>
      <c r="E455" s="11"/>
      <c r="F455" s="11"/>
      <c r="G455" s="11"/>
      <c r="H455" s="11"/>
      <c r="I455" s="11"/>
      <c r="J455" s="11"/>
      <c r="K455" s="11"/>
      <c r="L455" s="15"/>
      <c r="M455" s="15"/>
      <c r="N455" s="15"/>
      <c r="O455" s="15"/>
      <c r="P455" s="15"/>
      <c r="Q455" s="11"/>
      <c r="R455" s="11"/>
      <c r="S455" s="11"/>
      <c r="T455" s="11"/>
      <c r="U455" s="15"/>
      <c r="V455" s="11"/>
      <c r="W455" s="11"/>
      <c r="X455" s="11"/>
      <c r="Y455" s="11"/>
      <c r="Z455" s="11"/>
    </row>
    <row r="456">
      <c r="A456" s="18"/>
      <c r="B456" s="11"/>
      <c r="C456" s="11"/>
      <c r="D456" s="11"/>
      <c r="E456" s="11"/>
      <c r="F456" s="11"/>
      <c r="G456" s="11"/>
      <c r="H456" s="11"/>
      <c r="I456" s="11"/>
      <c r="J456" s="11"/>
      <c r="K456" s="11"/>
      <c r="L456" s="15"/>
      <c r="M456" s="15"/>
      <c r="N456" s="15"/>
      <c r="O456" s="15"/>
      <c r="P456" s="15"/>
      <c r="Q456" s="11"/>
      <c r="R456" s="11"/>
      <c r="S456" s="11"/>
      <c r="T456" s="11"/>
      <c r="U456" s="15"/>
      <c r="V456" s="11"/>
      <c r="W456" s="11"/>
      <c r="X456" s="11"/>
      <c r="Y456" s="11"/>
      <c r="Z456" s="11"/>
    </row>
    <row r="457">
      <c r="A457" s="18"/>
      <c r="B457" s="11"/>
      <c r="C457" s="11"/>
      <c r="D457" s="11"/>
      <c r="E457" s="11"/>
      <c r="F457" s="11"/>
      <c r="G457" s="11"/>
      <c r="H457" s="11"/>
      <c r="I457" s="11"/>
      <c r="J457" s="11"/>
      <c r="K457" s="11"/>
      <c r="L457" s="15"/>
      <c r="M457" s="15"/>
      <c r="N457" s="15"/>
      <c r="O457" s="15"/>
      <c r="P457" s="15"/>
      <c r="Q457" s="11"/>
      <c r="R457" s="11"/>
      <c r="S457" s="11"/>
      <c r="T457" s="11"/>
      <c r="U457" s="15"/>
      <c r="V457" s="11"/>
      <c r="W457" s="11"/>
      <c r="X457" s="11"/>
      <c r="Y457" s="11"/>
      <c r="Z457" s="11"/>
    </row>
    <row r="458">
      <c r="A458" s="18"/>
      <c r="B458" s="11"/>
      <c r="C458" s="11"/>
      <c r="D458" s="11"/>
      <c r="E458" s="11"/>
      <c r="F458" s="11"/>
      <c r="G458" s="11"/>
      <c r="H458" s="11"/>
      <c r="I458" s="11"/>
      <c r="J458" s="11"/>
      <c r="K458" s="11"/>
      <c r="L458" s="15"/>
      <c r="M458" s="15"/>
      <c r="N458" s="15"/>
      <c r="O458" s="15"/>
      <c r="P458" s="15"/>
      <c r="Q458" s="11"/>
      <c r="R458" s="11"/>
      <c r="S458" s="11"/>
      <c r="T458" s="11"/>
      <c r="U458" s="15"/>
      <c r="V458" s="11"/>
      <c r="W458" s="11"/>
      <c r="X458" s="11"/>
      <c r="Y458" s="11"/>
      <c r="Z458" s="11"/>
    </row>
    <row r="459">
      <c r="A459" s="18"/>
      <c r="B459" s="11"/>
      <c r="C459" s="11"/>
      <c r="D459" s="11"/>
      <c r="E459" s="11"/>
      <c r="F459" s="11"/>
      <c r="G459" s="11"/>
      <c r="H459" s="11"/>
      <c r="I459" s="11"/>
      <c r="J459" s="11"/>
      <c r="K459" s="11"/>
      <c r="L459" s="15"/>
      <c r="M459" s="15"/>
      <c r="N459" s="15"/>
      <c r="O459" s="15"/>
      <c r="P459" s="15"/>
      <c r="Q459" s="11"/>
      <c r="R459" s="11"/>
      <c r="S459" s="11"/>
      <c r="T459" s="11"/>
      <c r="U459" s="15"/>
      <c r="V459" s="11"/>
      <c r="W459" s="11"/>
      <c r="X459" s="11"/>
      <c r="Y459" s="11"/>
      <c r="Z459" s="11"/>
    </row>
    <row r="460">
      <c r="A460" s="18"/>
      <c r="B460" s="11"/>
      <c r="C460" s="11"/>
      <c r="D460" s="11"/>
      <c r="E460" s="11"/>
      <c r="F460" s="11"/>
      <c r="G460" s="11"/>
      <c r="H460" s="11"/>
      <c r="I460" s="11"/>
      <c r="J460" s="11"/>
      <c r="K460" s="11"/>
      <c r="L460" s="15"/>
      <c r="M460" s="15"/>
      <c r="N460" s="15"/>
      <c r="O460" s="15"/>
      <c r="P460" s="15"/>
      <c r="Q460" s="11"/>
      <c r="R460" s="11"/>
      <c r="S460" s="11"/>
      <c r="T460" s="11"/>
      <c r="U460" s="15"/>
      <c r="V460" s="11"/>
      <c r="W460" s="11"/>
      <c r="X460" s="11"/>
      <c r="Y460" s="11"/>
      <c r="Z460" s="11"/>
    </row>
    <row r="461">
      <c r="A461" s="18"/>
      <c r="B461" s="11"/>
      <c r="C461" s="11"/>
      <c r="D461" s="11"/>
      <c r="E461" s="11"/>
      <c r="F461" s="11"/>
      <c r="G461" s="11"/>
      <c r="H461" s="11"/>
      <c r="I461" s="11"/>
      <c r="J461" s="11"/>
      <c r="K461" s="11"/>
      <c r="L461" s="15"/>
      <c r="M461" s="15"/>
      <c r="N461" s="15"/>
      <c r="O461" s="15"/>
      <c r="P461" s="15"/>
      <c r="Q461" s="11"/>
      <c r="R461" s="11"/>
      <c r="S461" s="11"/>
      <c r="T461" s="11"/>
      <c r="U461" s="15"/>
      <c r="V461" s="11"/>
      <c r="W461" s="11"/>
      <c r="X461" s="11"/>
      <c r="Y461" s="11"/>
      <c r="Z461" s="11"/>
    </row>
    <row r="462">
      <c r="A462" s="18"/>
      <c r="B462" s="11"/>
      <c r="C462" s="11"/>
      <c r="D462" s="11"/>
      <c r="E462" s="11"/>
      <c r="F462" s="11"/>
      <c r="G462" s="11"/>
      <c r="H462" s="11"/>
      <c r="I462" s="11"/>
      <c r="J462" s="11"/>
      <c r="K462" s="11"/>
      <c r="L462" s="15"/>
      <c r="M462" s="15"/>
      <c r="N462" s="15"/>
      <c r="O462" s="15"/>
      <c r="P462" s="15"/>
      <c r="Q462" s="11"/>
      <c r="R462" s="11"/>
      <c r="S462" s="11"/>
      <c r="T462" s="11"/>
      <c r="U462" s="15"/>
      <c r="V462" s="11"/>
      <c r="W462" s="11"/>
      <c r="X462" s="11"/>
      <c r="Y462" s="11"/>
      <c r="Z462" s="11"/>
    </row>
    <row r="463">
      <c r="A463" s="18"/>
      <c r="B463" s="11"/>
      <c r="C463" s="11"/>
      <c r="D463" s="11"/>
      <c r="E463" s="11"/>
      <c r="F463" s="11"/>
      <c r="G463" s="11"/>
      <c r="H463" s="11"/>
      <c r="I463" s="11"/>
      <c r="J463" s="11"/>
      <c r="K463" s="11"/>
      <c r="L463" s="15"/>
      <c r="M463" s="15"/>
      <c r="N463" s="15"/>
      <c r="O463" s="15"/>
      <c r="P463" s="15"/>
      <c r="Q463" s="11"/>
      <c r="R463" s="11"/>
      <c r="S463" s="11"/>
      <c r="T463" s="11"/>
      <c r="U463" s="15"/>
      <c r="V463" s="11"/>
      <c r="W463" s="11"/>
      <c r="X463" s="11"/>
      <c r="Y463" s="11"/>
      <c r="Z463" s="11"/>
    </row>
    <row r="464">
      <c r="A464" s="18"/>
      <c r="B464" s="11"/>
      <c r="C464" s="11"/>
      <c r="D464" s="11"/>
      <c r="E464" s="11"/>
      <c r="F464" s="11"/>
      <c r="G464" s="11"/>
      <c r="H464" s="11"/>
      <c r="I464" s="11"/>
      <c r="J464" s="11"/>
      <c r="K464" s="11"/>
      <c r="L464" s="15"/>
      <c r="M464" s="15"/>
      <c r="N464" s="15"/>
      <c r="O464" s="15"/>
      <c r="P464" s="15"/>
      <c r="Q464" s="11"/>
      <c r="R464" s="11"/>
      <c r="S464" s="11"/>
      <c r="T464" s="11"/>
      <c r="U464" s="15"/>
      <c r="V464" s="11"/>
      <c r="W464" s="11"/>
      <c r="X464" s="11"/>
      <c r="Y464" s="11"/>
      <c r="Z464" s="11"/>
    </row>
    <row r="465">
      <c r="A465" s="18"/>
      <c r="B465" s="11"/>
      <c r="C465" s="11"/>
      <c r="D465" s="11"/>
      <c r="E465" s="11"/>
      <c r="F465" s="11"/>
      <c r="G465" s="11"/>
      <c r="H465" s="11"/>
      <c r="I465" s="11"/>
      <c r="J465" s="11"/>
      <c r="K465" s="11"/>
      <c r="L465" s="15"/>
      <c r="M465" s="15"/>
      <c r="N465" s="15"/>
      <c r="O465" s="15"/>
      <c r="P465" s="15"/>
      <c r="Q465" s="11"/>
      <c r="R465" s="11"/>
      <c r="S465" s="11"/>
      <c r="T465" s="11"/>
      <c r="U465" s="15"/>
      <c r="V465" s="11"/>
      <c r="W465" s="11"/>
      <c r="X465" s="11"/>
      <c r="Y465" s="11"/>
      <c r="Z465" s="11"/>
    </row>
    <row r="466">
      <c r="A466" s="18"/>
      <c r="B466" s="11"/>
      <c r="C466" s="11"/>
      <c r="D466" s="11"/>
      <c r="E466" s="11"/>
      <c r="F466" s="11"/>
      <c r="G466" s="11"/>
      <c r="H466" s="11"/>
      <c r="I466" s="11"/>
      <c r="J466" s="11"/>
      <c r="K466" s="11"/>
      <c r="L466" s="15"/>
      <c r="M466" s="15"/>
      <c r="N466" s="15"/>
      <c r="O466" s="15"/>
      <c r="P466" s="15"/>
      <c r="Q466" s="11"/>
      <c r="R466" s="11"/>
      <c r="S466" s="11"/>
      <c r="T466" s="11"/>
      <c r="U466" s="15"/>
      <c r="V466" s="11"/>
      <c r="W466" s="11"/>
      <c r="X466" s="11"/>
      <c r="Y466" s="11"/>
      <c r="Z466" s="11"/>
    </row>
    <row r="467">
      <c r="A467" s="18"/>
      <c r="B467" s="11"/>
      <c r="C467" s="11"/>
      <c r="D467" s="11"/>
      <c r="E467" s="11"/>
      <c r="F467" s="11"/>
      <c r="G467" s="11"/>
      <c r="H467" s="11"/>
      <c r="I467" s="11"/>
      <c r="J467" s="11"/>
      <c r="K467" s="11"/>
      <c r="L467" s="15"/>
      <c r="M467" s="15"/>
      <c r="N467" s="15"/>
      <c r="O467" s="15"/>
      <c r="P467" s="15"/>
      <c r="Q467" s="11"/>
      <c r="R467" s="11"/>
      <c r="S467" s="11"/>
      <c r="T467" s="11"/>
      <c r="U467" s="15"/>
      <c r="V467" s="11"/>
      <c r="W467" s="11"/>
      <c r="X467" s="11"/>
      <c r="Y467" s="11"/>
      <c r="Z467" s="11"/>
    </row>
    <row r="468">
      <c r="A468" s="18"/>
      <c r="B468" s="11"/>
      <c r="C468" s="11"/>
      <c r="D468" s="11"/>
      <c r="E468" s="11"/>
      <c r="F468" s="11"/>
      <c r="G468" s="11"/>
      <c r="H468" s="11"/>
      <c r="I468" s="11"/>
      <c r="J468" s="11"/>
      <c r="K468" s="11"/>
      <c r="L468" s="15"/>
      <c r="M468" s="15"/>
      <c r="N468" s="15"/>
      <c r="O468" s="15"/>
      <c r="P468" s="15"/>
      <c r="Q468" s="11"/>
      <c r="R468" s="11"/>
      <c r="S468" s="11"/>
      <c r="T468" s="11"/>
      <c r="U468" s="15"/>
      <c r="V468" s="11"/>
      <c r="W468" s="11"/>
      <c r="X468" s="11"/>
      <c r="Y468" s="11"/>
      <c r="Z468" s="11"/>
    </row>
    <row r="469">
      <c r="A469" s="18"/>
      <c r="B469" s="11"/>
      <c r="C469" s="11"/>
      <c r="D469" s="11"/>
      <c r="E469" s="11"/>
      <c r="F469" s="11"/>
      <c r="G469" s="11"/>
      <c r="H469" s="11"/>
      <c r="I469" s="11"/>
      <c r="J469" s="11"/>
      <c r="K469" s="11"/>
      <c r="L469" s="15"/>
      <c r="M469" s="15"/>
      <c r="N469" s="15"/>
      <c r="O469" s="15"/>
      <c r="P469" s="15"/>
      <c r="Q469" s="11"/>
      <c r="R469" s="11"/>
      <c r="S469" s="11"/>
      <c r="T469" s="11"/>
      <c r="U469" s="15"/>
      <c r="V469" s="11"/>
      <c r="W469" s="11"/>
      <c r="X469" s="11"/>
      <c r="Y469" s="11"/>
      <c r="Z469" s="11"/>
    </row>
    <row r="470">
      <c r="A470" s="18"/>
      <c r="B470" s="11"/>
      <c r="C470" s="11"/>
      <c r="D470" s="11"/>
      <c r="E470" s="11"/>
      <c r="F470" s="11"/>
      <c r="G470" s="11"/>
      <c r="H470" s="11"/>
      <c r="I470" s="11"/>
      <c r="J470" s="11"/>
      <c r="K470" s="11"/>
      <c r="L470" s="15"/>
      <c r="M470" s="15"/>
      <c r="N470" s="15"/>
      <c r="O470" s="15"/>
      <c r="P470" s="15"/>
      <c r="Q470" s="11"/>
      <c r="R470" s="11"/>
      <c r="S470" s="11"/>
      <c r="T470" s="11"/>
      <c r="U470" s="15"/>
      <c r="V470" s="11"/>
      <c r="W470" s="11"/>
      <c r="X470" s="11"/>
      <c r="Y470" s="11"/>
      <c r="Z470" s="11"/>
    </row>
    <row r="471">
      <c r="A471" s="18"/>
      <c r="B471" s="11"/>
      <c r="C471" s="11"/>
      <c r="D471" s="11"/>
      <c r="E471" s="11"/>
      <c r="F471" s="11"/>
      <c r="G471" s="11"/>
      <c r="H471" s="11"/>
      <c r="I471" s="11"/>
      <c r="J471" s="11"/>
      <c r="K471" s="11"/>
      <c r="L471" s="15"/>
      <c r="M471" s="15"/>
      <c r="N471" s="15"/>
      <c r="O471" s="15"/>
      <c r="P471" s="15"/>
      <c r="Q471" s="11"/>
      <c r="R471" s="11"/>
      <c r="S471" s="11"/>
      <c r="T471" s="11"/>
      <c r="U471" s="15"/>
      <c r="V471" s="11"/>
      <c r="W471" s="11"/>
      <c r="X471" s="11"/>
      <c r="Y471" s="11"/>
      <c r="Z471" s="11"/>
    </row>
    <row r="472">
      <c r="A472" s="18"/>
      <c r="B472" s="11"/>
      <c r="C472" s="11"/>
      <c r="D472" s="11"/>
      <c r="E472" s="11"/>
      <c r="F472" s="11"/>
      <c r="G472" s="11"/>
      <c r="H472" s="11"/>
      <c r="I472" s="11"/>
      <c r="J472" s="11"/>
      <c r="K472" s="11"/>
      <c r="L472" s="15"/>
      <c r="M472" s="15"/>
      <c r="N472" s="15"/>
      <c r="O472" s="15"/>
      <c r="P472" s="15"/>
      <c r="Q472" s="11"/>
      <c r="R472" s="11"/>
      <c r="S472" s="11"/>
      <c r="T472" s="11"/>
      <c r="U472" s="15"/>
      <c r="V472" s="11"/>
      <c r="W472" s="11"/>
      <c r="X472" s="11"/>
      <c r="Y472" s="11"/>
      <c r="Z472" s="11"/>
    </row>
    <row r="473">
      <c r="A473" s="18"/>
      <c r="B473" s="11"/>
      <c r="C473" s="11"/>
      <c r="D473" s="11"/>
      <c r="E473" s="11"/>
      <c r="F473" s="11"/>
      <c r="G473" s="11"/>
      <c r="H473" s="11"/>
      <c r="I473" s="11"/>
      <c r="J473" s="11"/>
      <c r="K473" s="11"/>
      <c r="L473" s="15"/>
      <c r="M473" s="15"/>
      <c r="N473" s="15"/>
      <c r="O473" s="15"/>
      <c r="P473" s="15"/>
      <c r="Q473" s="11"/>
      <c r="R473" s="11"/>
      <c r="S473" s="11"/>
      <c r="T473" s="11"/>
      <c r="U473" s="15"/>
      <c r="V473" s="11"/>
      <c r="W473" s="11"/>
      <c r="X473" s="11"/>
      <c r="Y473" s="11"/>
      <c r="Z473" s="11"/>
    </row>
    <row r="474">
      <c r="A474" s="18"/>
      <c r="B474" s="11"/>
      <c r="C474" s="11"/>
      <c r="D474" s="11"/>
      <c r="E474" s="11"/>
      <c r="F474" s="11"/>
      <c r="G474" s="11"/>
      <c r="H474" s="11"/>
      <c r="I474" s="11"/>
      <c r="J474" s="11"/>
      <c r="K474" s="11"/>
      <c r="L474" s="15"/>
      <c r="M474" s="15"/>
      <c r="N474" s="15"/>
      <c r="O474" s="15"/>
      <c r="P474" s="15"/>
      <c r="Q474" s="11"/>
      <c r="R474" s="11"/>
      <c r="S474" s="11"/>
      <c r="T474" s="11"/>
      <c r="U474" s="15"/>
      <c r="V474" s="11"/>
      <c r="W474" s="11"/>
      <c r="X474" s="11"/>
      <c r="Y474" s="11"/>
      <c r="Z474" s="11"/>
    </row>
    <row r="475">
      <c r="A475" s="18"/>
      <c r="B475" s="11"/>
      <c r="C475" s="11"/>
      <c r="D475" s="11"/>
      <c r="E475" s="11"/>
      <c r="F475" s="11"/>
      <c r="G475" s="11"/>
      <c r="H475" s="11"/>
      <c r="I475" s="11"/>
      <c r="J475" s="11"/>
      <c r="K475" s="11"/>
      <c r="L475" s="15"/>
      <c r="M475" s="15"/>
      <c r="N475" s="15"/>
      <c r="O475" s="15"/>
      <c r="P475" s="15"/>
      <c r="Q475" s="11"/>
      <c r="R475" s="11"/>
      <c r="S475" s="11"/>
      <c r="T475" s="11"/>
      <c r="U475" s="15"/>
      <c r="V475" s="11"/>
      <c r="W475" s="11"/>
      <c r="X475" s="11"/>
      <c r="Y475" s="11"/>
      <c r="Z475" s="11"/>
    </row>
    <row r="476">
      <c r="A476" s="18"/>
      <c r="B476" s="11"/>
      <c r="C476" s="11"/>
      <c r="D476" s="11"/>
      <c r="E476" s="11"/>
      <c r="F476" s="11"/>
      <c r="G476" s="11"/>
      <c r="H476" s="11"/>
      <c r="I476" s="11"/>
      <c r="J476" s="11"/>
      <c r="K476" s="11"/>
      <c r="L476" s="15"/>
      <c r="M476" s="15"/>
      <c r="N476" s="15"/>
      <c r="O476" s="15"/>
      <c r="P476" s="15"/>
      <c r="Q476" s="11"/>
      <c r="R476" s="11"/>
      <c r="S476" s="11"/>
      <c r="T476" s="11"/>
      <c r="U476" s="15"/>
      <c r="V476" s="11"/>
      <c r="W476" s="11"/>
      <c r="X476" s="11"/>
      <c r="Y476" s="11"/>
      <c r="Z476" s="11"/>
    </row>
    <row r="477">
      <c r="A477" s="18"/>
      <c r="B477" s="11"/>
      <c r="C477" s="11"/>
      <c r="D477" s="11"/>
      <c r="E477" s="11"/>
      <c r="F477" s="11"/>
      <c r="G477" s="11"/>
      <c r="H477" s="11"/>
      <c r="I477" s="11"/>
      <c r="J477" s="11"/>
      <c r="K477" s="11"/>
      <c r="L477" s="15"/>
      <c r="M477" s="15"/>
      <c r="N477" s="15"/>
      <c r="O477" s="15"/>
      <c r="P477" s="15"/>
      <c r="Q477" s="11"/>
      <c r="R477" s="11"/>
      <c r="S477" s="11"/>
      <c r="T477" s="11"/>
      <c r="U477" s="15"/>
      <c r="V477" s="11"/>
      <c r="W477" s="11"/>
      <c r="X477" s="11"/>
      <c r="Y477" s="11"/>
      <c r="Z477" s="11"/>
    </row>
    <row r="478">
      <c r="A478" s="18"/>
      <c r="B478" s="11"/>
      <c r="C478" s="11"/>
      <c r="D478" s="11"/>
      <c r="E478" s="11"/>
      <c r="F478" s="11"/>
      <c r="G478" s="11"/>
      <c r="H478" s="11"/>
      <c r="I478" s="11"/>
      <c r="J478" s="11"/>
      <c r="K478" s="11"/>
      <c r="L478" s="15"/>
      <c r="M478" s="15"/>
      <c r="N478" s="15"/>
      <c r="O478" s="15"/>
      <c r="P478" s="15"/>
      <c r="Q478" s="11"/>
      <c r="R478" s="11"/>
      <c r="S478" s="11"/>
      <c r="T478" s="11"/>
      <c r="U478" s="15"/>
      <c r="V478" s="11"/>
      <c r="W478" s="11"/>
      <c r="X478" s="11"/>
      <c r="Y478" s="11"/>
      <c r="Z478" s="11"/>
    </row>
    <row r="479">
      <c r="A479" s="18"/>
      <c r="B479" s="11"/>
      <c r="C479" s="11"/>
      <c r="D479" s="11"/>
      <c r="E479" s="11"/>
      <c r="F479" s="11"/>
      <c r="G479" s="11"/>
      <c r="H479" s="11"/>
      <c r="I479" s="11"/>
      <c r="J479" s="11"/>
      <c r="K479" s="11"/>
      <c r="L479" s="15"/>
      <c r="M479" s="15"/>
      <c r="N479" s="15"/>
      <c r="O479" s="15"/>
      <c r="P479" s="15"/>
      <c r="Q479" s="11"/>
      <c r="R479" s="11"/>
      <c r="S479" s="11"/>
      <c r="T479" s="11"/>
      <c r="U479" s="15"/>
      <c r="V479" s="11"/>
      <c r="W479" s="11"/>
      <c r="X479" s="11"/>
      <c r="Y479" s="11"/>
      <c r="Z479" s="11"/>
    </row>
    <row r="480">
      <c r="A480" s="18"/>
      <c r="B480" s="11"/>
      <c r="C480" s="11"/>
      <c r="D480" s="11"/>
      <c r="E480" s="11"/>
      <c r="F480" s="11"/>
      <c r="G480" s="11"/>
      <c r="H480" s="11"/>
      <c r="I480" s="11"/>
      <c r="J480" s="11"/>
      <c r="K480" s="11"/>
      <c r="L480" s="15"/>
      <c r="M480" s="15"/>
      <c r="N480" s="15"/>
      <c r="O480" s="15"/>
      <c r="P480" s="15"/>
      <c r="Q480" s="11"/>
      <c r="R480" s="11"/>
      <c r="S480" s="11"/>
      <c r="T480" s="11"/>
      <c r="U480" s="15"/>
      <c r="V480" s="11"/>
      <c r="W480" s="11"/>
      <c r="X480" s="11"/>
      <c r="Y480" s="11"/>
      <c r="Z480" s="11"/>
    </row>
    <row r="481">
      <c r="A481" s="18"/>
      <c r="B481" s="11"/>
      <c r="C481" s="11"/>
      <c r="D481" s="11"/>
      <c r="E481" s="11"/>
      <c r="F481" s="11"/>
      <c r="G481" s="11"/>
      <c r="H481" s="11"/>
      <c r="I481" s="11"/>
      <c r="J481" s="11"/>
      <c r="K481" s="11"/>
      <c r="L481" s="15"/>
      <c r="M481" s="15"/>
      <c r="N481" s="15"/>
      <c r="O481" s="15"/>
      <c r="P481" s="15"/>
      <c r="Q481" s="11"/>
      <c r="R481" s="11"/>
      <c r="S481" s="11"/>
      <c r="T481" s="11"/>
      <c r="U481" s="15"/>
      <c r="V481" s="11"/>
      <c r="W481" s="11"/>
      <c r="X481" s="11"/>
      <c r="Y481" s="11"/>
      <c r="Z481" s="11"/>
    </row>
    <row r="482">
      <c r="A482" s="18"/>
      <c r="B482" s="11"/>
      <c r="C482" s="11"/>
      <c r="D482" s="11"/>
      <c r="E482" s="11"/>
      <c r="F482" s="11"/>
      <c r="G482" s="11"/>
      <c r="H482" s="11"/>
      <c r="I482" s="11"/>
      <c r="J482" s="11"/>
      <c r="K482" s="11"/>
      <c r="L482" s="15"/>
      <c r="M482" s="15"/>
      <c r="N482" s="15"/>
      <c r="O482" s="15"/>
      <c r="P482" s="15"/>
      <c r="Q482" s="11"/>
      <c r="R482" s="11"/>
      <c r="S482" s="11"/>
      <c r="T482" s="11"/>
      <c r="U482" s="15"/>
      <c r="V482" s="11"/>
      <c r="W482" s="11"/>
      <c r="X482" s="11"/>
      <c r="Y482" s="11"/>
      <c r="Z482" s="11"/>
    </row>
    <row r="483">
      <c r="A483" s="18"/>
      <c r="B483" s="11"/>
      <c r="C483" s="11"/>
      <c r="D483" s="11"/>
      <c r="E483" s="11"/>
      <c r="F483" s="11"/>
      <c r="G483" s="11"/>
      <c r="H483" s="11"/>
      <c r="I483" s="11"/>
      <c r="J483" s="11"/>
      <c r="K483" s="11"/>
      <c r="L483" s="15"/>
      <c r="M483" s="15"/>
      <c r="N483" s="15"/>
      <c r="O483" s="15"/>
      <c r="P483" s="15"/>
      <c r="Q483" s="11"/>
      <c r="R483" s="11"/>
      <c r="S483" s="11"/>
      <c r="T483" s="11"/>
      <c r="U483" s="15"/>
      <c r="V483" s="11"/>
      <c r="W483" s="11"/>
      <c r="X483" s="11"/>
      <c r="Y483" s="11"/>
      <c r="Z483" s="11"/>
    </row>
    <row r="484">
      <c r="A484" s="18"/>
      <c r="B484" s="11"/>
      <c r="C484" s="11"/>
      <c r="D484" s="11"/>
      <c r="E484" s="11"/>
      <c r="F484" s="11"/>
      <c r="G484" s="11"/>
      <c r="H484" s="11"/>
      <c r="I484" s="11"/>
      <c r="J484" s="11"/>
      <c r="K484" s="11"/>
      <c r="L484" s="15"/>
      <c r="M484" s="15"/>
      <c r="N484" s="15"/>
      <c r="O484" s="15"/>
      <c r="P484" s="15"/>
      <c r="Q484" s="11"/>
      <c r="R484" s="11"/>
      <c r="S484" s="11"/>
      <c r="T484" s="11"/>
      <c r="U484" s="15"/>
      <c r="V484" s="11"/>
      <c r="W484" s="11"/>
      <c r="X484" s="11"/>
      <c r="Y484" s="11"/>
      <c r="Z484" s="11"/>
    </row>
    <row r="485">
      <c r="A485" s="18"/>
      <c r="B485" s="11"/>
      <c r="C485" s="11"/>
      <c r="D485" s="11"/>
      <c r="E485" s="11"/>
      <c r="F485" s="11"/>
      <c r="G485" s="11"/>
      <c r="H485" s="11"/>
      <c r="I485" s="11"/>
      <c r="J485" s="11"/>
      <c r="K485" s="11"/>
      <c r="L485" s="15"/>
      <c r="M485" s="15"/>
      <c r="N485" s="15"/>
      <c r="O485" s="15"/>
      <c r="P485" s="15"/>
      <c r="Q485" s="11"/>
      <c r="R485" s="11"/>
      <c r="S485" s="11"/>
      <c r="T485" s="11"/>
      <c r="U485" s="15"/>
      <c r="V485" s="11"/>
      <c r="W485" s="11"/>
      <c r="X485" s="11"/>
      <c r="Y485" s="11"/>
      <c r="Z485" s="11"/>
    </row>
    <row r="486">
      <c r="A486" s="18"/>
      <c r="B486" s="11"/>
      <c r="C486" s="11"/>
      <c r="D486" s="11"/>
      <c r="E486" s="11"/>
      <c r="F486" s="11"/>
      <c r="G486" s="11"/>
      <c r="H486" s="11"/>
      <c r="I486" s="11"/>
      <c r="J486" s="11"/>
      <c r="K486" s="11"/>
      <c r="L486" s="15"/>
      <c r="M486" s="15"/>
      <c r="N486" s="15"/>
      <c r="O486" s="15"/>
      <c r="P486" s="15"/>
      <c r="Q486" s="11"/>
      <c r="R486" s="11"/>
      <c r="S486" s="11"/>
      <c r="T486" s="11"/>
      <c r="U486" s="15"/>
      <c r="V486" s="11"/>
      <c r="W486" s="11"/>
      <c r="X486" s="11"/>
      <c r="Y486" s="11"/>
      <c r="Z486" s="11"/>
    </row>
    <row r="487">
      <c r="A487" s="18"/>
      <c r="B487" s="11"/>
      <c r="C487" s="11"/>
      <c r="D487" s="11"/>
      <c r="E487" s="11"/>
      <c r="F487" s="11"/>
      <c r="G487" s="11"/>
      <c r="H487" s="11"/>
      <c r="I487" s="11"/>
      <c r="J487" s="11"/>
      <c r="K487" s="11"/>
      <c r="L487" s="15"/>
      <c r="M487" s="15"/>
      <c r="N487" s="15"/>
      <c r="O487" s="15"/>
      <c r="P487" s="15"/>
      <c r="Q487" s="11"/>
      <c r="R487" s="11"/>
      <c r="S487" s="11"/>
      <c r="T487" s="11"/>
      <c r="U487" s="15"/>
      <c r="V487" s="11"/>
      <c r="W487" s="11"/>
      <c r="X487" s="11"/>
      <c r="Y487" s="11"/>
      <c r="Z487" s="11"/>
    </row>
    <row r="488">
      <c r="A488" s="18"/>
      <c r="B488" s="11"/>
      <c r="C488" s="11"/>
      <c r="D488" s="11"/>
      <c r="E488" s="11"/>
      <c r="F488" s="11"/>
      <c r="G488" s="11"/>
      <c r="H488" s="11"/>
      <c r="I488" s="11"/>
      <c r="J488" s="11"/>
      <c r="K488" s="11"/>
      <c r="L488" s="15"/>
      <c r="M488" s="15"/>
      <c r="N488" s="15"/>
      <c r="O488" s="15"/>
      <c r="P488" s="15"/>
      <c r="Q488" s="11"/>
      <c r="R488" s="11"/>
      <c r="S488" s="11"/>
      <c r="T488" s="11"/>
      <c r="U488" s="15"/>
      <c r="V488" s="11"/>
      <c r="W488" s="11"/>
      <c r="X488" s="11"/>
      <c r="Y488" s="11"/>
      <c r="Z488" s="11"/>
    </row>
    <row r="489">
      <c r="A489" s="18"/>
      <c r="B489" s="11"/>
      <c r="C489" s="11"/>
      <c r="D489" s="11"/>
      <c r="E489" s="11"/>
      <c r="F489" s="11"/>
      <c r="G489" s="11"/>
      <c r="H489" s="11"/>
      <c r="I489" s="11"/>
      <c r="J489" s="11"/>
      <c r="K489" s="11"/>
      <c r="L489" s="15"/>
      <c r="M489" s="15"/>
      <c r="N489" s="15"/>
      <c r="O489" s="15"/>
      <c r="P489" s="15"/>
      <c r="Q489" s="11"/>
      <c r="R489" s="11"/>
      <c r="S489" s="11"/>
      <c r="T489" s="11"/>
      <c r="U489" s="15"/>
      <c r="V489" s="11"/>
      <c r="W489" s="11"/>
      <c r="X489" s="11"/>
      <c r="Y489" s="11"/>
      <c r="Z489" s="11"/>
    </row>
    <row r="490">
      <c r="A490" s="18"/>
      <c r="B490" s="11"/>
      <c r="C490" s="11"/>
      <c r="D490" s="11"/>
      <c r="E490" s="11"/>
      <c r="F490" s="11"/>
      <c r="G490" s="11"/>
      <c r="H490" s="11"/>
      <c r="I490" s="11"/>
      <c r="J490" s="11"/>
      <c r="K490" s="11"/>
      <c r="L490" s="15"/>
      <c r="M490" s="15"/>
      <c r="N490" s="15"/>
      <c r="O490" s="15"/>
      <c r="P490" s="15"/>
      <c r="Q490" s="11"/>
      <c r="R490" s="11"/>
      <c r="S490" s="11"/>
      <c r="T490" s="11"/>
      <c r="U490" s="15"/>
      <c r="V490" s="11"/>
      <c r="W490" s="11"/>
      <c r="X490" s="11"/>
      <c r="Y490" s="11"/>
      <c r="Z490" s="11"/>
    </row>
    <row r="491">
      <c r="A491" s="18"/>
      <c r="B491" s="11"/>
      <c r="C491" s="11"/>
      <c r="D491" s="11"/>
      <c r="E491" s="11"/>
      <c r="F491" s="11"/>
      <c r="G491" s="11"/>
      <c r="H491" s="11"/>
      <c r="I491" s="11"/>
      <c r="J491" s="11"/>
      <c r="K491" s="11"/>
      <c r="L491" s="15"/>
      <c r="M491" s="15"/>
      <c r="N491" s="15"/>
      <c r="O491" s="15"/>
      <c r="P491" s="15"/>
      <c r="Q491" s="11"/>
      <c r="R491" s="11"/>
      <c r="S491" s="11"/>
      <c r="T491" s="11"/>
      <c r="U491" s="15"/>
      <c r="V491" s="11"/>
      <c r="W491" s="11"/>
      <c r="X491" s="11"/>
      <c r="Y491" s="11"/>
      <c r="Z491" s="11"/>
    </row>
    <row r="492">
      <c r="A492" s="18"/>
      <c r="B492" s="11"/>
      <c r="C492" s="11"/>
      <c r="D492" s="11"/>
      <c r="E492" s="11"/>
      <c r="F492" s="11"/>
      <c r="G492" s="11"/>
      <c r="H492" s="11"/>
      <c r="I492" s="11"/>
      <c r="J492" s="11"/>
      <c r="K492" s="11"/>
      <c r="L492" s="15"/>
      <c r="M492" s="15"/>
      <c r="N492" s="15"/>
      <c r="O492" s="15"/>
      <c r="P492" s="15"/>
      <c r="Q492" s="11"/>
      <c r="R492" s="11"/>
      <c r="S492" s="11"/>
      <c r="T492" s="11"/>
      <c r="U492" s="15"/>
      <c r="V492" s="11"/>
      <c r="W492" s="11"/>
      <c r="X492" s="11"/>
      <c r="Y492" s="11"/>
      <c r="Z492" s="11"/>
    </row>
    <row r="493">
      <c r="A493" s="18"/>
      <c r="B493" s="11"/>
      <c r="C493" s="11"/>
      <c r="D493" s="11"/>
      <c r="E493" s="11"/>
      <c r="F493" s="11"/>
      <c r="G493" s="11"/>
      <c r="H493" s="11"/>
      <c r="I493" s="11"/>
      <c r="J493" s="11"/>
      <c r="K493" s="11"/>
      <c r="L493" s="15"/>
      <c r="M493" s="15"/>
      <c r="N493" s="15"/>
      <c r="O493" s="15"/>
      <c r="P493" s="15"/>
      <c r="Q493" s="11"/>
      <c r="R493" s="11"/>
      <c r="S493" s="11"/>
      <c r="T493" s="11"/>
      <c r="U493" s="15"/>
      <c r="V493" s="11"/>
      <c r="W493" s="11"/>
      <c r="X493" s="11"/>
      <c r="Y493" s="11"/>
      <c r="Z493" s="11"/>
    </row>
    <row r="494">
      <c r="A494" s="18"/>
      <c r="B494" s="11"/>
      <c r="C494" s="11"/>
      <c r="D494" s="11"/>
      <c r="E494" s="11"/>
      <c r="F494" s="11"/>
      <c r="G494" s="11"/>
      <c r="H494" s="11"/>
      <c r="I494" s="11"/>
      <c r="J494" s="11"/>
      <c r="K494" s="11"/>
      <c r="L494" s="15"/>
      <c r="M494" s="15"/>
      <c r="N494" s="15"/>
      <c r="O494" s="15"/>
      <c r="P494" s="15"/>
      <c r="Q494" s="11"/>
      <c r="R494" s="11"/>
      <c r="S494" s="11"/>
      <c r="T494" s="11"/>
      <c r="U494" s="15"/>
      <c r="V494" s="11"/>
      <c r="W494" s="11"/>
      <c r="X494" s="11"/>
      <c r="Y494" s="11"/>
      <c r="Z494" s="11"/>
    </row>
    <row r="495">
      <c r="A495" s="18"/>
      <c r="B495" s="11"/>
      <c r="C495" s="11"/>
      <c r="D495" s="11"/>
      <c r="E495" s="11"/>
      <c r="F495" s="11"/>
      <c r="G495" s="11"/>
      <c r="H495" s="11"/>
      <c r="I495" s="11"/>
      <c r="J495" s="11"/>
      <c r="K495" s="11"/>
      <c r="L495" s="15"/>
      <c r="M495" s="15"/>
      <c r="N495" s="15"/>
      <c r="O495" s="15"/>
      <c r="P495" s="15"/>
      <c r="Q495" s="11"/>
      <c r="R495" s="11"/>
      <c r="S495" s="11"/>
      <c r="T495" s="11"/>
      <c r="U495" s="15"/>
      <c r="V495" s="11"/>
      <c r="W495" s="11"/>
      <c r="X495" s="11"/>
      <c r="Y495" s="11"/>
      <c r="Z495" s="11"/>
    </row>
    <row r="496">
      <c r="A496" s="18"/>
      <c r="B496" s="11"/>
      <c r="C496" s="11"/>
      <c r="D496" s="11"/>
      <c r="E496" s="11"/>
      <c r="F496" s="11"/>
      <c r="G496" s="11"/>
      <c r="H496" s="11"/>
      <c r="I496" s="11"/>
      <c r="J496" s="11"/>
      <c r="K496" s="11"/>
      <c r="L496" s="15"/>
      <c r="M496" s="15"/>
      <c r="N496" s="15"/>
      <c r="O496" s="15"/>
      <c r="P496" s="15"/>
      <c r="Q496" s="11"/>
      <c r="R496" s="11"/>
      <c r="S496" s="11"/>
      <c r="T496" s="11"/>
      <c r="U496" s="15"/>
      <c r="V496" s="11"/>
      <c r="W496" s="11"/>
      <c r="X496" s="11"/>
      <c r="Y496" s="11"/>
      <c r="Z496" s="11"/>
    </row>
    <row r="497">
      <c r="A497" s="18"/>
      <c r="B497" s="11"/>
      <c r="C497" s="11"/>
      <c r="D497" s="11"/>
      <c r="E497" s="11"/>
      <c r="F497" s="11"/>
      <c r="G497" s="11"/>
      <c r="H497" s="11"/>
      <c r="I497" s="11"/>
      <c r="J497" s="11"/>
      <c r="K497" s="11"/>
      <c r="L497" s="15"/>
      <c r="M497" s="15"/>
      <c r="N497" s="15"/>
      <c r="O497" s="15"/>
      <c r="P497" s="15"/>
      <c r="Q497" s="11"/>
      <c r="R497" s="11"/>
      <c r="S497" s="11"/>
      <c r="T497" s="11"/>
      <c r="U497" s="15"/>
      <c r="V497" s="11"/>
      <c r="W497" s="11"/>
      <c r="X497" s="11"/>
      <c r="Y497" s="11"/>
      <c r="Z497" s="11"/>
    </row>
    <row r="498">
      <c r="A498" s="18"/>
      <c r="B498" s="11"/>
      <c r="C498" s="11"/>
      <c r="D498" s="11"/>
      <c r="E498" s="11"/>
      <c r="F498" s="11"/>
      <c r="G498" s="11"/>
      <c r="H498" s="11"/>
      <c r="I498" s="11"/>
      <c r="J498" s="11"/>
      <c r="K498" s="11"/>
      <c r="L498" s="15"/>
      <c r="M498" s="15"/>
      <c r="N498" s="15"/>
      <c r="O498" s="15"/>
      <c r="P498" s="15"/>
      <c r="Q498" s="11"/>
      <c r="R498" s="11"/>
      <c r="S498" s="11"/>
      <c r="T498" s="11"/>
      <c r="U498" s="15"/>
      <c r="V498" s="11"/>
      <c r="W498" s="11"/>
      <c r="X498" s="11"/>
      <c r="Y498" s="11"/>
      <c r="Z498" s="11"/>
    </row>
    <row r="499">
      <c r="A499" s="18"/>
      <c r="B499" s="11"/>
      <c r="C499" s="11"/>
      <c r="D499" s="11"/>
      <c r="E499" s="11"/>
      <c r="F499" s="11"/>
      <c r="G499" s="11"/>
      <c r="H499" s="11"/>
      <c r="I499" s="11"/>
      <c r="J499" s="11"/>
      <c r="K499" s="11"/>
      <c r="L499" s="15"/>
      <c r="M499" s="15"/>
      <c r="N499" s="15"/>
      <c r="O499" s="15"/>
      <c r="P499" s="15"/>
      <c r="Q499" s="11"/>
      <c r="R499" s="11"/>
      <c r="S499" s="11"/>
      <c r="T499" s="11"/>
      <c r="U499" s="15"/>
      <c r="V499" s="11"/>
      <c r="W499" s="11"/>
      <c r="X499" s="11"/>
      <c r="Y499" s="11"/>
      <c r="Z499" s="11"/>
    </row>
    <row r="500">
      <c r="A500" s="18"/>
      <c r="B500" s="11"/>
      <c r="C500" s="11"/>
      <c r="D500" s="11"/>
      <c r="E500" s="11"/>
      <c r="F500" s="11"/>
      <c r="G500" s="11"/>
      <c r="H500" s="11"/>
      <c r="I500" s="11"/>
      <c r="J500" s="11"/>
      <c r="K500" s="11"/>
      <c r="L500" s="15"/>
      <c r="M500" s="15"/>
      <c r="N500" s="15"/>
      <c r="O500" s="15"/>
      <c r="P500" s="15"/>
      <c r="Q500" s="11"/>
      <c r="R500" s="11"/>
      <c r="S500" s="11"/>
      <c r="T500" s="11"/>
      <c r="U500" s="15"/>
      <c r="V500" s="11"/>
      <c r="W500" s="11"/>
      <c r="X500" s="11"/>
      <c r="Y500" s="11"/>
      <c r="Z500" s="11"/>
    </row>
    <row r="501">
      <c r="A501" s="18"/>
      <c r="B501" s="11"/>
      <c r="C501" s="11"/>
      <c r="D501" s="11"/>
      <c r="E501" s="11"/>
      <c r="F501" s="11"/>
      <c r="G501" s="11"/>
      <c r="H501" s="11"/>
      <c r="I501" s="11"/>
      <c r="J501" s="11"/>
      <c r="K501" s="11"/>
      <c r="L501" s="15"/>
      <c r="M501" s="15"/>
      <c r="N501" s="15"/>
      <c r="O501" s="15"/>
      <c r="P501" s="15"/>
      <c r="Q501" s="11"/>
      <c r="R501" s="11"/>
      <c r="S501" s="11"/>
      <c r="T501" s="11"/>
      <c r="U501" s="15"/>
      <c r="V501" s="11"/>
      <c r="W501" s="11"/>
      <c r="X501" s="11"/>
      <c r="Y501" s="11"/>
      <c r="Z501" s="11"/>
    </row>
    <row r="502">
      <c r="A502" s="18"/>
      <c r="B502" s="11"/>
      <c r="C502" s="11"/>
      <c r="D502" s="11"/>
      <c r="E502" s="11"/>
      <c r="F502" s="11"/>
      <c r="G502" s="11"/>
      <c r="H502" s="11"/>
      <c r="I502" s="11"/>
      <c r="J502" s="11"/>
      <c r="K502" s="11"/>
      <c r="L502" s="15"/>
      <c r="M502" s="15"/>
      <c r="N502" s="15"/>
      <c r="O502" s="15"/>
      <c r="P502" s="15"/>
      <c r="Q502" s="11"/>
      <c r="R502" s="11"/>
      <c r="S502" s="11"/>
      <c r="T502" s="11"/>
      <c r="U502" s="15"/>
      <c r="V502" s="11"/>
      <c r="W502" s="11"/>
      <c r="X502" s="11"/>
      <c r="Y502" s="11"/>
      <c r="Z502" s="11"/>
    </row>
    <row r="503">
      <c r="A503" s="18"/>
      <c r="B503" s="11"/>
      <c r="C503" s="11"/>
      <c r="D503" s="11"/>
      <c r="E503" s="11"/>
      <c r="F503" s="11"/>
      <c r="G503" s="11"/>
      <c r="H503" s="11"/>
      <c r="I503" s="11"/>
      <c r="J503" s="11"/>
      <c r="K503" s="11"/>
      <c r="L503" s="15"/>
      <c r="M503" s="15"/>
      <c r="N503" s="15"/>
      <c r="O503" s="15"/>
      <c r="P503" s="15"/>
      <c r="Q503" s="11"/>
      <c r="R503" s="11"/>
      <c r="S503" s="11"/>
      <c r="T503" s="11"/>
      <c r="U503" s="15"/>
      <c r="V503" s="11"/>
      <c r="W503" s="11"/>
      <c r="X503" s="11"/>
      <c r="Y503" s="11"/>
      <c r="Z503" s="11"/>
    </row>
    <row r="504">
      <c r="A504" s="18"/>
      <c r="B504" s="11"/>
      <c r="C504" s="11"/>
      <c r="D504" s="11"/>
      <c r="E504" s="11"/>
      <c r="F504" s="11"/>
      <c r="G504" s="11"/>
      <c r="H504" s="11"/>
      <c r="I504" s="11"/>
      <c r="J504" s="11"/>
      <c r="K504" s="11"/>
      <c r="L504" s="15"/>
      <c r="M504" s="15"/>
      <c r="N504" s="15"/>
      <c r="O504" s="15"/>
      <c r="P504" s="15"/>
      <c r="Q504" s="11"/>
      <c r="R504" s="11"/>
      <c r="S504" s="11"/>
      <c r="T504" s="11"/>
      <c r="U504" s="15"/>
      <c r="V504" s="11"/>
      <c r="W504" s="11"/>
      <c r="X504" s="11"/>
      <c r="Y504" s="11"/>
      <c r="Z504" s="11"/>
    </row>
    <row r="505">
      <c r="A505" s="18"/>
      <c r="B505" s="11"/>
      <c r="C505" s="11"/>
      <c r="D505" s="11"/>
      <c r="E505" s="11"/>
      <c r="F505" s="11"/>
      <c r="G505" s="11"/>
      <c r="H505" s="11"/>
      <c r="I505" s="11"/>
      <c r="J505" s="11"/>
      <c r="K505" s="11"/>
      <c r="L505" s="15"/>
      <c r="M505" s="15"/>
      <c r="N505" s="15"/>
      <c r="O505" s="15"/>
      <c r="P505" s="15"/>
      <c r="Q505" s="11"/>
      <c r="R505" s="11"/>
      <c r="S505" s="11"/>
      <c r="T505" s="11"/>
      <c r="U505" s="15"/>
      <c r="V505" s="11"/>
      <c r="W505" s="11"/>
      <c r="X505" s="11"/>
      <c r="Y505" s="11"/>
      <c r="Z505" s="11"/>
    </row>
    <row r="506">
      <c r="A506" s="18"/>
      <c r="B506" s="11"/>
      <c r="C506" s="11"/>
      <c r="D506" s="11"/>
      <c r="E506" s="11"/>
      <c r="F506" s="11"/>
      <c r="G506" s="11"/>
      <c r="H506" s="11"/>
      <c r="I506" s="11"/>
      <c r="J506" s="11"/>
      <c r="K506" s="11"/>
      <c r="L506" s="15"/>
      <c r="M506" s="15"/>
      <c r="N506" s="15"/>
      <c r="O506" s="15"/>
      <c r="P506" s="15"/>
      <c r="Q506" s="11"/>
      <c r="R506" s="11"/>
      <c r="S506" s="11"/>
      <c r="T506" s="11"/>
      <c r="U506" s="15"/>
      <c r="V506" s="11"/>
      <c r="W506" s="11"/>
      <c r="X506" s="11"/>
      <c r="Y506" s="11"/>
      <c r="Z506" s="11"/>
    </row>
    <row r="507">
      <c r="A507" s="18"/>
      <c r="B507" s="11"/>
      <c r="C507" s="11"/>
      <c r="D507" s="11"/>
      <c r="E507" s="11"/>
      <c r="F507" s="11"/>
      <c r="G507" s="11"/>
      <c r="H507" s="11"/>
      <c r="I507" s="11"/>
      <c r="J507" s="11"/>
      <c r="K507" s="11"/>
      <c r="L507" s="15"/>
      <c r="M507" s="15"/>
      <c r="N507" s="15"/>
      <c r="O507" s="15"/>
      <c r="P507" s="15"/>
      <c r="Q507" s="11"/>
      <c r="R507" s="11"/>
      <c r="S507" s="11"/>
      <c r="T507" s="11"/>
      <c r="U507" s="15"/>
      <c r="V507" s="11"/>
      <c r="W507" s="11"/>
      <c r="X507" s="11"/>
      <c r="Y507" s="11"/>
      <c r="Z507" s="11"/>
    </row>
    <row r="508">
      <c r="A508" s="18"/>
      <c r="B508" s="11"/>
      <c r="C508" s="11"/>
      <c r="D508" s="11"/>
      <c r="E508" s="11"/>
      <c r="F508" s="11"/>
      <c r="G508" s="11"/>
      <c r="H508" s="11"/>
      <c r="I508" s="11"/>
      <c r="J508" s="11"/>
      <c r="K508" s="11"/>
      <c r="L508" s="15"/>
      <c r="M508" s="15"/>
      <c r="N508" s="15"/>
      <c r="O508" s="15"/>
      <c r="P508" s="15"/>
      <c r="Q508" s="11"/>
      <c r="R508" s="11"/>
      <c r="S508" s="11"/>
      <c r="T508" s="11"/>
      <c r="U508" s="15"/>
      <c r="V508" s="11"/>
      <c r="W508" s="11"/>
      <c r="X508" s="11"/>
      <c r="Y508" s="11"/>
      <c r="Z508" s="11"/>
    </row>
    <row r="509">
      <c r="A509" s="18"/>
      <c r="B509" s="11"/>
      <c r="C509" s="11"/>
      <c r="D509" s="11"/>
      <c r="E509" s="11"/>
      <c r="F509" s="11"/>
      <c r="G509" s="11"/>
      <c r="H509" s="11"/>
      <c r="I509" s="11"/>
      <c r="J509" s="11"/>
      <c r="K509" s="11"/>
      <c r="L509" s="15"/>
      <c r="M509" s="15"/>
      <c r="N509" s="15"/>
      <c r="O509" s="15"/>
      <c r="P509" s="15"/>
      <c r="Q509" s="11"/>
      <c r="R509" s="11"/>
      <c r="S509" s="11"/>
      <c r="T509" s="11"/>
      <c r="U509" s="15"/>
      <c r="V509" s="11"/>
      <c r="W509" s="11"/>
      <c r="X509" s="11"/>
      <c r="Y509" s="11"/>
      <c r="Z509" s="11"/>
    </row>
    <row r="510">
      <c r="A510" s="18"/>
      <c r="B510" s="11"/>
      <c r="C510" s="11"/>
      <c r="D510" s="11"/>
      <c r="E510" s="11"/>
      <c r="F510" s="11"/>
      <c r="G510" s="11"/>
      <c r="H510" s="11"/>
      <c r="I510" s="11"/>
      <c r="J510" s="11"/>
      <c r="K510" s="11"/>
      <c r="L510" s="15"/>
      <c r="M510" s="15"/>
      <c r="N510" s="15"/>
      <c r="O510" s="15"/>
      <c r="P510" s="15"/>
      <c r="Q510" s="11"/>
      <c r="R510" s="11"/>
      <c r="S510" s="11"/>
      <c r="T510" s="11"/>
      <c r="U510" s="15"/>
      <c r="V510" s="11"/>
      <c r="W510" s="11"/>
      <c r="X510" s="11"/>
      <c r="Y510" s="11"/>
      <c r="Z510" s="11"/>
    </row>
    <row r="511">
      <c r="A511" s="18"/>
      <c r="B511" s="11"/>
      <c r="C511" s="11"/>
      <c r="D511" s="11"/>
      <c r="E511" s="11"/>
      <c r="F511" s="11"/>
      <c r="G511" s="11"/>
      <c r="H511" s="11"/>
      <c r="I511" s="11"/>
      <c r="J511" s="11"/>
      <c r="K511" s="11"/>
      <c r="L511" s="15"/>
      <c r="M511" s="15"/>
      <c r="N511" s="15"/>
      <c r="O511" s="15"/>
      <c r="P511" s="15"/>
      <c r="Q511" s="11"/>
      <c r="R511" s="11"/>
      <c r="S511" s="11"/>
      <c r="T511" s="11"/>
      <c r="U511" s="15"/>
      <c r="V511" s="11"/>
      <c r="W511" s="11"/>
      <c r="X511" s="11"/>
      <c r="Y511" s="11"/>
      <c r="Z511" s="11"/>
    </row>
    <row r="512">
      <c r="A512" s="18"/>
      <c r="B512" s="11"/>
      <c r="C512" s="11"/>
      <c r="D512" s="11"/>
      <c r="E512" s="11"/>
      <c r="F512" s="11"/>
      <c r="G512" s="11"/>
      <c r="H512" s="11"/>
      <c r="I512" s="11"/>
      <c r="J512" s="11"/>
      <c r="K512" s="11"/>
      <c r="L512" s="15"/>
      <c r="M512" s="15"/>
      <c r="N512" s="15"/>
      <c r="O512" s="15"/>
      <c r="P512" s="15"/>
      <c r="Q512" s="11"/>
      <c r="R512" s="11"/>
      <c r="S512" s="11"/>
      <c r="T512" s="11"/>
      <c r="U512" s="15"/>
      <c r="V512" s="11"/>
      <c r="W512" s="11"/>
      <c r="X512" s="11"/>
      <c r="Y512" s="11"/>
      <c r="Z512" s="11"/>
    </row>
    <row r="513">
      <c r="A513" s="18"/>
      <c r="B513" s="11"/>
      <c r="C513" s="11"/>
      <c r="D513" s="11"/>
      <c r="E513" s="11"/>
      <c r="F513" s="11"/>
      <c r="G513" s="11"/>
      <c r="H513" s="11"/>
      <c r="I513" s="11"/>
      <c r="J513" s="11"/>
      <c r="K513" s="11"/>
      <c r="L513" s="15"/>
      <c r="M513" s="15"/>
      <c r="N513" s="15"/>
      <c r="O513" s="15"/>
      <c r="P513" s="15"/>
      <c r="Q513" s="11"/>
      <c r="R513" s="11"/>
      <c r="S513" s="11"/>
      <c r="T513" s="11"/>
      <c r="U513" s="15"/>
      <c r="V513" s="11"/>
      <c r="W513" s="11"/>
      <c r="X513" s="11"/>
      <c r="Y513" s="11"/>
      <c r="Z513" s="11"/>
    </row>
    <row r="514">
      <c r="A514" s="18"/>
      <c r="B514" s="11"/>
      <c r="C514" s="11"/>
      <c r="D514" s="11"/>
      <c r="E514" s="11"/>
      <c r="F514" s="11"/>
      <c r="G514" s="11"/>
      <c r="H514" s="11"/>
      <c r="I514" s="11"/>
      <c r="J514" s="11"/>
      <c r="K514" s="11"/>
      <c r="L514" s="15"/>
      <c r="M514" s="15"/>
      <c r="N514" s="15"/>
      <c r="O514" s="15"/>
      <c r="P514" s="15"/>
      <c r="Q514" s="11"/>
      <c r="R514" s="11"/>
      <c r="S514" s="11"/>
      <c r="T514" s="11"/>
      <c r="U514" s="15"/>
      <c r="V514" s="11"/>
      <c r="W514" s="11"/>
      <c r="X514" s="11"/>
      <c r="Y514" s="11"/>
      <c r="Z514" s="11"/>
    </row>
    <row r="515">
      <c r="A515" s="18"/>
      <c r="B515" s="11"/>
      <c r="C515" s="11"/>
      <c r="D515" s="11"/>
      <c r="E515" s="11"/>
      <c r="F515" s="11"/>
      <c r="G515" s="11"/>
      <c r="H515" s="11"/>
      <c r="I515" s="11"/>
      <c r="J515" s="11"/>
      <c r="K515" s="11"/>
      <c r="L515" s="15"/>
      <c r="M515" s="15"/>
      <c r="N515" s="15"/>
      <c r="O515" s="15"/>
      <c r="P515" s="15"/>
      <c r="Q515" s="11"/>
      <c r="R515" s="11"/>
      <c r="S515" s="11"/>
      <c r="T515" s="11"/>
      <c r="U515" s="15"/>
      <c r="V515" s="11"/>
      <c r="W515" s="11"/>
      <c r="X515" s="11"/>
      <c r="Y515" s="11"/>
      <c r="Z515" s="11"/>
    </row>
    <row r="516">
      <c r="A516" s="18"/>
      <c r="B516" s="11"/>
      <c r="C516" s="11"/>
      <c r="D516" s="11"/>
      <c r="E516" s="11"/>
      <c r="F516" s="11"/>
      <c r="G516" s="11"/>
      <c r="H516" s="11"/>
      <c r="I516" s="11"/>
      <c r="J516" s="11"/>
      <c r="K516" s="11"/>
      <c r="L516" s="15"/>
      <c r="M516" s="15"/>
      <c r="N516" s="15"/>
      <c r="O516" s="15"/>
      <c r="P516" s="15"/>
      <c r="Q516" s="11"/>
      <c r="R516" s="11"/>
      <c r="S516" s="11"/>
      <c r="T516" s="11"/>
      <c r="U516" s="15"/>
      <c r="V516" s="11"/>
      <c r="W516" s="11"/>
      <c r="X516" s="11"/>
      <c r="Y516" s="11"/>
      <c r="Z516" s="11"/>
    </row>
    <row r="517">
      <c r="A517" s="18"/>
      <c r="B517" s="11"/>
      <c r="C517" s="11"/>
      <c r="D517" s="11"/>
      <c r="E517" s="11"/>
      <c r="F517" s="11"/>
      <c r="G517" s="11"/>
      <c r="H517" s="11"/>
      <c r="I517" s="11"/>
      <c r="J517" s="11"/>
      <c r="K517" s="11"/>
      <c r="L517" s="15"/>
      <c r="M517" s="15"/>
      <c r="N517" s="15"/>
      <c r="O517" s="15"/>
      <c r="P517" s="15"/>
      <c r="Q517" s="11"/>
      <c r="R517" s="11"/>
      <c r="S517" s="11"/>
      <c r="T517" s="11"/>
      <c r="U517" s="15"/>
      <c r="V517" s="11"/>
      <c r="W517" s="11"/>
      <c r="X517" s="11"/>
      <c r="Y517" s="11"/>
      <c r="Z517" s="11"/>
    </row>
    <row r="518">
      <c r="A518" s="18"/>
      <c r="B518" s="11"/>
      <c r="C518" s="11"/>
      <c r="D518" s="11"/>
      <c r="E518" s="11"/>
      <c r="F518" s="11"/>
      <c r="G518" s="11"/>
      <c r="H518" s="11"/>
      <c r="I518" s="11"/>
      <c r="J518" s="11"/>
      <c r="K518" s="11"/>
      <c r="L518" s="15"/>
      <c r="M518" s="15"/>
      <c r="N518" s="15"/>
      <c r="O518" s="15"/>
      <c r="P518" s="15"/>
      <c r="Q518" s="11"/>
      <c r="R518" s="11"/>
      <c r="S518" s="11"/>
      <c r="T518" s="11"/>
      <c r="U518" s="15"/>
      <c r="V518" s="11"/>
      <c r="W518" s="11"/>
      <c r="X518" s="11"/>
      <c r="Y518" s="11"/>
      <c r="Z518" s="11"/>
    </row>
    <row r="519">
      <c r="A519" s="18"/>
      <c r="B519" s="11"/>
      <c r="C519" s="11"/>
      <c r="D519" s="11"/>
      <c r="E519" s="11"/>
      <c r="F519" s="11"/>
      <c r="G519" s="11"/>
      <c r="H519" s="11"/>
      <c r="I519" s="11"/>
      <c r="J519" s="11"/>
      <c r="K519" s="11"/>
      <c r="L519" s="15"/>
      <c r="M519" s="15"/>
      <c r="N519" s="15"/>
      <c r="O519" s="15"/>
      <c r="P519" s="15"/>
      <c r="Q519" s="11"/>
      <c r="R519" s="11"/>
      <c r="S519" s="11"/>
      <c r="T519" s="11"/>
      <c r="U519" s="15"/>
      <c r="V519" s="11"/>
      <c r="W519" s="11"/>
      <c r="X519" s="11"/>
      <c r="Y519" s="11"/>
      <c r="Z519" s="11"/>
    </row>
    <row r="520">
      <c r="A520" s="18"/>
      <c r="B520" s="11"/>
      <c r="C520" s="11"/>
      <c r="D520" s="11"/>
      <c r="E520" s="11"/>
      <c r="F520" s="11"/>
      <c r="G520" s="11"/>
      <c r="H520" s="11"/>
      <c r="I520" s="11"/>
      <c r="J520" s="11"/>
      <c r="K520" s="11"/>
      <c r="L520" s="15"/>
      <c r="M520" s="15"/>
      <c r="N520" s="15"/>
      <c r="O520" s="15"/>
      <c r="P520" s="15"/>
      <c r="Q520" s="11"/>
      <c r="R520" s="11"/>
      <c r="S520" s="11"/>
      <c r="T520" s="11"/>
      <c r="U520" s="15"/>
      <c r="V520" s="11"/>
      <c r="W520" s="11"/>
      <c r="X520" s="11"/>
      <c r="Y520" s="11"/>
      <c r="Z520" s="11"/>
    </row>
    <row r="521">
      <c r="A521" s="18"/>
      <c r="B521" s="11"/>
      <c r="C521" s="11"/>
      <c r="D521" s="11"/>
      <c r="E521" s="11"/>
      <c r="F521" s="11"/>
      <c r="G521" s="11"/>
      <c r="H521" s="11"/>
      <c r="I521" s="11"/>
      <c r="J521" s="11"/>
      <c r="K521" s="11"/>
      <c r="L521" s="15"/>
      <c r="M521" s="15"/>
      <c r="N521" s="15"/>
      <c r="O521" s="15"/>
      <c r="P521" s="15"/>
      <c r="Q521" s="11"/>
      <c r="R521" s="11"/>
      <c r="S521" s="11"/>
      <c r="T521" s="11"/>
      <c r="U521" s="15"/>
      <c r="V521" s="11"/>
      <c r="W521" s="11"/>
      <c r="X521" s="11"/>
      <c r="Y521" s="11"/>
      <c r="Z521" s="11"/>
    </row>
    <row r="522">
      <c r="A522" s="18"/>
      <c r="B522" s="11"/>
      <c r="C522" s="11"/>
      <c r="D522" s="11"/>
      <c r="E522" s="11"/>
      <c r="F522" s="11"/>
      <c r="G522" s="11"/>
      <c r="H522" s="11"/>
      <c r="I522" s="11"/>
      <c r="J522" s="11"/>
      <c r="K522" s="11"/>
      <c r="L522" s="15"/>
      <c r="M522" s="15"/>
      <c r="N522" s="15"/>
      <c r="O522" s="15"/>
      <c r="P522" s="15"/>
      <c r="Q522" s="11"/>
      <c r="R522" s="11"/>
      <c r="S522" s="11"/>
      <c r="T522" s="11"/>
      <c r="U522" s="15"/>
      <c r="V522" s="11"/>
      <c r="W522" s="11"/>
      <c r="X522" s="11"/>
      <c r="Y522" s="11"/>
      <c r="Z522" s="11"/>
    </row>
    <row r="523">
      <c r="A523" s="18"/>
      <c r="B523" s="11"/>
      <c r="C523" s="11"/>
      <c r="D523" s="11"/>
      <c r="E523" s="11"/>
      <c r="F523" s="11"/>
      <c r="G523" s="11"/>
      <c r="H523" s="11"/>
      <c r="I523" s="11"/>
      <c r="J523" s="11"/>
      <c r="K523" s="11"/>
      <c r="L523" s="15"/>
      <c r="M523" s="15"/>
      <c r="N523" s="15"/>
      <c r="O523" s="15"/>
      <c r="P523" s="15"/>
      <c r="Q523" s="11"/>
      <c r="R523" s="11"/>
      <c r="S523" s="11"/>
      <c r="T523" s="11"/>
      <c r="U523" s="15"/>
      <c r="V523" s="11"/>
      <c r="W523" s="11"/>
      <c r="X523" s="11"/>
      <c r="Y523" s="11"/>
      <c r="Z523" s="11"/>
    </row>
    <row r="524">
      <c r="A524" s="18"/>
      <c r="B524" s="11"/>
      <c r="C524" s="11"/>
      <c r="D524" s="11"/>
      <c r="E524" s="11"/>
      <c r="F524" s="11"/>
      <c r="G524" s="11"/>
      <c r="H524" s="11"/>
      <c r="I524" s="11"/>
      <c r="J524" s="11"/>
      <c r="K524" s="11"/>
      <c r="L524" s="15"/>
      <c r="M524" s="15"/>
      <c r="N524" s="15"/>
      <c r="O524" s="15"/>
      <c r="P524" s="15"/>
      <c r="Q524" s="11"/>
      <c r="R524" s="11"/>
      <c r="S524" s="11"/>
      <c r="T524" s="11"/>
      <c r="U524" s="15"/>
      <c r="V524" s="11"/>
      <c r="W524" s="11"/>
      <c r="X524" s="11"/>
      <c r="Y524" s="11"/>
      <c r="Z524" s="11"/>
    </row>
    <row r="525">
      <c r="A525" s="18"/>
      <c r="B525" s="11"/>
      <c r="C525" s="11"/>
      <c r="D525" s="11"/>
      <c r="E525" s="11"/>
      <c r="F525" s="11"/>
      <c r="G525" s="11"/>
      <c r="H525" s="11"/>
      <c r="I525" s="11"/>
      <c r="J525" s="11"/>
      <c r="K525" s="11"/>
      <c r="L525" s="15"/>
      <c r="M525" s="15"/>
      <c r="N525" s="15"/>
      <c r="O525" s="15"/>
      <c r="P525" s="15"/>
      <c r="Q525" s="11"/>
      <c r="R525" s="11"/>
      <c r="S525" s="11"/>
      <c r="T525" s="11"/>
      <c r="U525" s="15"/>
      <c r="V525" s="11"/>
      <c r="W525" s="11"/>
      <c r="X525" s="11"/>
      <c r="Y525" s="11"/>
      <c r="Z525" s="11"/>
    </row>
    <row r="526">
      <c r="A526" s="18"/>
      <c r="B526" s="11"/>
      <c r="C526" s="11"/>
      <c r="D526" s="11"/>
      <c r="E526" s="11"/>
      <c r="F526" s="11"/>
      <c r="G526" s="11"/>
      <c r="H526" s="11"/>
      <c r="I526" s="11"/>
      <c r="J526" s="11"/>
      <c r="K526" s="11"/>
      <c r="L526" s="15"/>
      <c r="M526" s="15"/>
      <c r="N526" s="15"/>
      <c r="O526" s="15"/>
      <c r="P526" s="15"/>
      <c r="Q526" s="11"/>
      <c r="R526" s="11"/>
      <c r="S526" s="11"/>
      <c r="T526" s="11"/>
      <c r="U526" s="15"/>
      <c r="V526" s="11"/>
      <c r="W526" s="11"/>
      <c r="X526" s="11"/>
      <c r="Y526" s="11"/>
      <c r="Z526" s="11"/>
    </row>
    <row r="527">
      <c r="A527" s="18"/>
      <c r="B527" s="11"/>
      <c r="C527" s="11"/>
      <c r="D527" s="11"/>
      <c r="E527" s="11"/>
      <c r="F527" s="11"/>
      <c r="G527" s="11"/>
      <c r="H527" s="11"/>
      <c r="I527" s="11"/>
      <c r="J527" s="11"/>
      <c r="K527" s="11"/>
      <c r="L527" s="15"/>
      <c r="M527" s="15"/>
      <c r="N527" s="15"/>
      <c r="O527" s="15"/>
      <c r="P527" s="15"/>
      <c r="Q527" s="11"/>
      <c r="R527" s="11"/>
      <c r="S527" s="11"/>
      <c r="T527" s="11"/>
      <c r="U527" s="15"/>
      <c r="V527" s="11"/>
      <c r="W527" s="11"/>
      <c r="X527" s="11"/>
      <c r="Y527" s="11"/>
      <c r="Z527" s="11"/>
    </row>
    <row r="528">
      <c r="A528" s="18"/>
      <c r="B528" s="11"/>
      <c r="C528" s="11"/>
      <c r="D528" s="11"/>
      <c r="E528" s="11"/>
      <c r="F528" s="11"/>
      <c r="G528" s="11"/>
      <c r="H528" s="11"/>
      <c r="I528" s="11"/>
      <c r="J528" s="11"/>
      <c r="K528" s="11"/>
      <c r="L528" s="15"/>
      <c r="M528" s="15"/>
      <c r="N528" s="15"/>
      <c r="O528" s="15"/>
      <c r="P528" s="15"/>
      <c r="Q528" s="11"/>
      <c r="R528" s="11"/>
      <c r="S528" s="11"/>
      <c r="T528" s="11"/>
      <c r="U528" s="15"/>
      <c r="V528" s="11"/>
      <c r="W528" s="11"/>
      <c r="X528" s="11"/>
      <c r="Y528" s="11"/>
      <c r="Z528" s="11"/>
    </row>
    <row r="529">
      <c r="A529" s="18"/>
      <c r="B529" s="11"/>
      <c r="C529" s="11"/>
      <c r="D529" s="11"/>
      <c r="E529" s="11"/>
      <c r="F529" s="11"/>
      <c r="G529" s="11"/>
      <c r="H529" s="11"/>
      <c r="I529" s="11"/>
      <c r="J529" s="11"/>
      <c r="K529" s="11"/>
      <c r="L529" s="15"/>
      <c r="M529" s="15"/>
      <c r="N529" s="15"/>
      <c r="O529" s="15"/>
      <c r="P529" s="15"/>
      <c r="Q529" s="11"/>
      <c r="R529" s="11"/>
      <c r="S529" s="11"/>
      <c r="T529" s="11"/>
      <c r="U529" s="15"/>
      <c r="V529" s="11"/>
      <c r="W529" s="11"/>
      <c r="X529" s="11"/>
      <c r="Y529" s="11"/>
      <c r="Z529" s="11"/>
    </row>
    <row r="530">
      <c r="A530" s="18"/>
      <c r="B530" s="11"/>
      <c r="C530" s="11"/>
      <c r="D530" s="11"/>
      <c r="E530" s="11"/>
      <c r="F530" s="11"/>
      <c r="G530" s="11"/>
      <c r="H530" s="11"/>
      <c r="I530" s="11"/>
      <c r="J530" s="11"/>
      <c r="K530" s="11"/>
      <c r="L530" s="15"/>
      <c r="M530" s="15"/>
      <c r="N530" s="15"/>
      <c r="O530" s="15"/>
      <c r="P530" s="15"/>
      <c r="Q530" s="11"/>
      <c r="R530" s="11"/>
      <c r="S530" s="11"/>
      <c r="T530" s="11"/>
      <c r="U530" s="15"/>
      <c r="V530" s="11"/>
      <c r="W530" s="11"/>
      <c r="X530" s="11"/>
      <c r="Y530" s="11"/>
      <c r="Z530" s="11"/>
    </row>
    <row r="531">
      <c r="A531" s="18"/>
      <c r="B531" s="11"/>
      <c r="C531" s="11"/>
      <c r="D531" s="11"/>
      <c r="E531" s="11"/>
      <c r="F531" s="11"/>
      <c r="G531" s="11"/>
      <c r="H531" s="11"/>
      <c r="I531" s="11"/>
      <c r="J531" s="11"/>
      <c r="K531" s="11"/>
      <c r="L531" s="15"/>
      <c r="M531" s="15"/>
      <c r="N531" s="15"/>
      <c r="O531" s="15"/>
      <c r="P531" s="15"/>
      <c r="Q531" s="11"/>
      <c r="R531" s="11"/>
      <c r="S531" s="11"/>
      <c r="T531" s="11"/>
      <c r="U531" s="15"/>
      <c r="V531" s="11"/>
      <c r="W531" s="11"/>
      <c r="X531" s="11"/>
      <c r="Y531" s="11"/>
      <c r="Z531" s="11"/>
    </row>
    <row r="532">
      <c r="A532" s="18"/>
      <c r="B532" s="11"/>
      <c r="C532" s="11"/>
      <c r="D532" s="11"/>
      <c r="E532" s="11"/>
      <c r="F532" s="11"/>
      <c r="G532" s="11"/>
      <c r="H532" s="11"/>
      <c r="I532" s="11"/>
      <c r="J532" s="11"/>
      <c r="K532" s="11"/>
      <c r="L532" s="15"/>
      <c r="M532" s="15"/>
      <c r="N532" s="15"/>
      <c r="O532" s="15"/>
      <c r="P532" s="15"/>
      <c r="Q532" s="11"/>
      <c r="R532" s="11"/>
      <c r="S532" s="11"/>
      <c r="T532" s="11"/>
      <c r="U532" s="15"/>
      <c r="V532" s="11"/>
      <c r="W532" s="11"/>
      <c r="X532" s="11"/>
      <c r="Y532" s="11"/>
      <c r="Z532" s="11"/>
    </row>
    <row r="533">
      <c r="A533" s="18"/>
      <c r="B533" s="11"/>
      <c r="C533" s="11"/>
      <c r="D533" s="11"/>
      <c r="E533" s="11"/>
      <c r="F533" s="11"/>
      <c r="G533" s="11"/>
      <c r="H533" s="11"/>
      <c r="I533" s="11"/>
      <c r="J533" s="11"/>
      <c r="K533" s="11"/>
      <c r="L533" s="15"/>
      <c r="M533" s="15"/>
      <c r="N533" s="15"/>
      <c r="O533" s="15"/>
      <c r="P533" s="15"/>
      <c r="Q533" s="11"/>
      <c r="R533" s="11"/>
      <c r="S533" s="11"/>
      <c r="T533" s="11"/>
      <c r="U533" s="15"/>
      <c r="V533" s="11"/>
      <c r="W533" s="11"/>
      <c r="X533" s="11"/>
      <c r="Y533" s="11"/>
      <c r="Z533" s="11"/>
    </row>
    <row r="534">
      <c r="A534" s="18"/>
      <c r="B534" s="11"/>
      <c r="C534" s="11"/>
      <c r="D534" s="11"/>
      <c r="E534" s="11"/>
      <c r="F534" s="11"/>
      <c r="G534" s="11"/>
      <c r="H534" s="11"/>
      <c r="I534" s="11"/>
      <c r="J534" s="11"/>
      <c r="K534" s="11"/>
      <c r="L534" s="15"/>
      <c r="M534" s="15"/>
      <c r="N534" s="15"/>
      <c r="O534" s="15"/>
      <c r="P534" s="15"/>
      <c r="Q534" s="11"/>
      <c r="R534" s="11"/>
      <c r="S534" s="11"/>
      <c r="T534" s="11"/>
      <c r="U534" s="15"/>
      <c r="V534" s="11"/>
      <c r="W534" s="11"/>
      <c r="X534" s="11"/>
      <c r="Y534" s="11"/>
      <c r="Z534" s="11"/>
    </row>
    <row r="535">
      <c r="A535" s="18"/>
      <c r="B535" s="11"/>
      <c r="C535" s="11"/>
      <c r="D535" s="11"/>
      <c r="E535" s="11"/>
      <c r="F535" s="11"/>
      <c r="G535" s="11"/>
      <c r="H535" s="11"/>
      <c r="I535" s="11"/>
      <c r="J535" s="11"/>
      <c r="K535" s="11"/>
      <c r="L535" s="15"/>
      <c r="M535" s="15"/>
      <c r="N535" s="15"/>
      <c r="O535" s="15"/>
      <c r="P535" s="15"/>
      <c r="Q535" s="11"/>
      <c r="R535" s="11"/>
      <c r="S535" s="11"/>
      <c r="T535" s="11"/>
      <c r="U535" s="15"/>
      <c r="V535" s="11"/>
      <c r="W535" s="11"/>
      <c r="X535" s="11"/>
      <c r="Y535" s="11"/>
      <c r="Z535" s="11"/>
    </row>
    <row r="536">
      <c r="A536" s="18"/>
      <c r="B536" s="11"/>
      <c r="C536" s="11"/>
      <c r="D536" s="11"/>
      <c r="E536" s="11"/>
      <c r="F536" s="11"/>
      <c r="G536" s="11"/>
      <c r="H536" s="11"/>
      <c r="I536" s="11"/>
      <c r="J536" s="11"/>
      <c r="K536" s="11"/>
      <c r="L536" s="15"/>
      <c r="M536" s="15"/>
      <c r="N536" s="15"/>
      <c r="O536" s="15"/>
      <c r="P536" s="15"/>
      <c r="Q536" s="11"/>
      <c r="R536" s="11"/>
      <c r="S536" s="11"/>
      <c r="T536" s="11"/>
      <c r="U536" s="15"/>
      <c r="V536" s="11"/>
      <c r="W536" s="11"/>
      <c r="X536" s="11"/>
      <c r="Y536" s="11"/>
      <c r="Z536" s="11"/>
    </row>
    <row r="537">
      <c r="A537" s="18"/>
      <c r="B537" s="11"/>
      <c r="C537" s="11"/>
      <c r="D537" s="11"/>
      <c r="E537" s="11"/>
      <c r="F537" s="11"/>
      <c r="G537" s="11"/>
      <c r="H537" s="11"/>
      <c r="I537" s="11"/>
      <c r="J537" s="11"/>
      <c r="K537" s="11"/>
      <c r="L537" s="15"/>
      <c r="M537" s="15"/>
      <c r="N537" s="15"/>
      <c r="O537" s="15"/>
      <c r="P537" s="15"/>
      <c r="Q537" s="11"/>
      <c r="R537" s="11"/>
      <c r="S537" s="11"/>
      <c r="T537" s="11"/>
      <c r="U537" s="15"/>
      <c r="V537" s="11"/>
      <c r="W537" s="11"/>
      <c r="X537" s="11"/>
      <c r="Y537" s="11"/>
      <c r="Z537" s="11"/>
    </row>
    <row r="538">
      <c r="A538" s="18"/>
      <c r="B538" s="11"/>
      <c r="C538" s="11"/>
      <c r="D538" s="11"/>
      <c r="E538" s="11"/>
      <c r="F538" s="11"/>
      <c r="G538" s="11"/>
      <c r="H538" s="11"/>
      <c r="I538" s="11"/>
      <c r="J538" s="11"/>
      <c r="K538" s="11"/>
      <c r="L538" s="15"/>
      <c r="M538" s="15"/>
      <c r="N538" s="15"/>
      <c r="O538" s="15"/>
      <c r="P538" s="15"/>
      <c r="Q538" s="11"/>
      <c r="R538" s="11"/>
      <c r="S538" s="11"/>
      <c r="T538" s="11"/>
      <c r="U538" s="15"/>
      <c r="V538" s="11"/>
      <c r="W538" s="11"/>
      <c r="X538" s="11"/>
      <c r="Y538" s="11"/>
      <c r="Z538" s="11"/>
    </row>
    <row r="539">
      <c r="A539" s="18"/>
      <c r="B539" s="11"/>
      <c r="C539" s="11"/>
      <c r="D539" s="11"/>
      <c r="E539" s="11"/>
      <c r="F539" s="11"/>
      <c r="G539" s="11"/>
      <c r="H539" s="11"/>
      <c r="I539" s="11"/>
      <c r="J539" s="11"/>
      <c r="K539" s="11"/>
      <c r="L539" s="15"/>
      <c r="M539" s="15"/>
      <c r="N539" s="15"/>
      <c r="O539" s="15"/>
      <c r="P539" s="15"/>
      <c r="Q539" s="11"/>
      <c r="R539" s="11"/>
      <c r="S539" s="11"/>
      <c r="T539" s="11"/>
      <c r="U539" s="15"/>
      <c r="V539" s="11"/>
      <c r="W539" s="11"/>
      <c r="X539" s="11"/>
      <c r="Y539" s="11"/>
      <c r="Z539" s="11"/>
    </row>
    <row r="540">
      <c r="A540" s="18"/>
      <c r="B540" s="11"/>
      <c r="C540" s="11"/>
      <c r="D540" s="11"/>
      <c r="E540" s="11"/>
      <c r="F540" s="11"/>
      <c r="G540" s="11"/>
      <c r="H540" s="11"/>
      <c r="I540" s="11"/>
      <c r="J540" s="11"/>
      <c r="K540" s="11"/>
      <c r="L540" s="15"/>
      <c r="M540" s="15"/>
      <c r="N540" s="15"/>
      <c r="O540" s="15"/>
      <c r="P540" s="15"/>
      <c r="Q540" s="11"/>
      <c r="R540" s="11"/>
      <c r="S540" s="11"/>
      <c r="T540" s="11"/>
      <c r="U540" s="15"/>
      <c r="V540" s="11"/>
      <c r="W540" s="11"/>
      <c r="X540" s="11"/>
      <c r="Y540" s="11"/>
      <c r="Z540" s="11"/>
    </row>
    <row r="541">
      <c r="A541" s="18"/>
      <c r="B541" s="11"/>
      <c r="C541" s="11"/>
      <c r="D541" s="11"/>
      <c r="E541" s="11"/>
      <c r="F541" s="11"/>
      <c r="G541" s="11"/>
      <c r="H541" s="11"/>
      <c r="I541" s="11"/>
      <c r="J541" s="11"/>
      <c r="K541" s="11"/>
      <c r="L541" s="15"/>
      <c r="M541" s="15"/>
      <c r="N541" s="15"/>
      <c r="O541" s="15"/>
      <c r="P541" s="15"/>
      <c r="Q541" s="11"/>
      <c r="R541" s="11"/>
      <c r="S541" s="11"/>
      <c r="T541" s="11"/>
      <c r="U541" s="15"/>
      <c r="V541" s="11"/>
      <c r="W541" s="11"/>
      <c r="X541" s="11"/>
      <c r="Y541" s="11"/>
      <c r="Z541" s="11"/>
    </row>
    <row r="542">
      <c r="A542" s="18"/>
      <c r="B542" s="11"/>
      <c r="C542" s="11"/>
      <c r="D542" s="11"/>
      <c r="E542" s="11"/>
      <c r="F542" s="11"/>
      <c r="G542" s="11"/>
      <c r="H542" s="11"/>
      <c r="I542" s="11"/>
      <c r="J542" s="11"/>
      <c r="K542" s="11"/>
      <c r="L542" s="15"/>
      <c r="M542" s="15"/>
      <c r="N542" s="15"/>
      <c r="O542" s="15"/>
      <c r="P542" s="15"/>
      <c r="Q542" s="11"/>
      <c r="R542" s="11"/>
      <c r="S542" s="11"/>
      <c r="T542" s="11"/>
      <c r="U542" s="15"/>
      <c r="V542" s="11"/>
      <c r="W542" s="11"/>
      <c r="X542" s="11"/>
      <c r="Y542" s="11"/>
      <c r="Z542" s="11"/>
    </row>
    <row r="543">
      <c r="A543" s="18"/>
      <c r="B543" s="11"/>
      <c r="C543" s="11"/>
      <c r="D543" s="11"/>
      <c r="E543" s="11"/>
      <c r="F543" s="11"/>
      <c r="G543" s="11"/>
      <c r="H543" s="11"/>
      <c r="I543" s="11"/>
      <c r="J543" s="11"/>
      <c r="K543" s="11"/>
      <c r="L543" s="15"/>
      <c r="M543" s="15"/>
      <c r="N543" s="15"/>
      <c r="O543" s="15"/>
      <c r="P543" s="15"/>
      <c r="Q543" s="11"/>
      <c r="R543" s="11"/>
      <c r="S543" s="11"/>
      <c r="T543" s="11"/>
      <c r="U543" s="15"/>
      <c r="V543" s="11"/>
      <c r="W543" s="11"/>
      <c r="X543" s="11"/>
      <c r="Y543" s="11"/>
      <c r="Z543" s="11"/>
    </row>
    <row r="544">
      <c r="A544" s="18"/>
      <c r="B544" s="11"/>
      <c r="C544" s="11"/>
      <c r="D544" s="11"/>
      <c r="E544" s="11"/>
      <c r="F544" s="11"/>
      <c r="G544" s="11"/>
      <c r="H544" s="11"/>
      <c r="I544" s="11"/>
      <c r="J544" s="11"/>
      <c r="K544" s="11"/>
      <c r="L544" s="15"/>
      <c r="M544" s="15"/>
      <c r="N544" s="15"/>
      <c r="O544" s="15"/>
      <c r="P544" s="15"/>
      <c r="Q544" s="11"/>
      <c r="R544" s="11"/>
      <c r="S544" s="11"/>
      <c r="T544" s="11"/>
      <c r="U544" s="15"/>
      <c r="V544" s="11"/>
      <c r="W544" s="11"/>
      <c r="X544" s="11"/>
      <c r="Y544" s="11"/>
      <c r="Z544" s="11"/>
    </row>
    <row r="545">
      <c r="A545" s="18"/>
      <c r="B545" s="11"/>
      <c r="C545" s="11"/>
      <c r="D545" s="11"/>
      <c r="E545" s="11"/>
      <c r="F545" s="11"/>
      <c r="G545" s="11"/>
      <c r="H545" s="11"/>
      <c r="I545" s="11"/>
      <c r="J545" s="11"/>
      <c r="K545" s="11"/>
      <c r="L545" s="15"/>
      <c r="M545" s="15"/>
      <c r="N545" s="15"/>
      <c r="O545" s="15"/>
      <c r="P545" s="15"/>
      <c r="Q545" s="11"/>
      <c r="R545" s="11"/>
      <c r="S545" s="11"/>
      <c r="T545" s="11"/>
      <c r="U545" s="15"/>
      <c r="V545" s="11"/>
      <c r="W545" s="11"/>
      <c r="X545" s="11"/>
      <c r="Y545" s="11"/>
      <c r="Z545" s="11"/>
    </row>
    <row r="546">
      <c r="A546" s="18"/>
      <c r="B546" s="11"/>
      <c r="C546" s="11"/>
      <c r="D546" s="11"/>
      <c r="E546" s="11"/>
      <c r="F546" s="11"/>
      <c r="G546" s="11"/>
      <c r="H546" s="11"/>
      <c r="I546" s="11"/>
      <c r="J546" s="11"/>
      <c r="K546" s="11"/>
      <c r="L546" s="15"/>
      <c r="M546" s="15"/>
      <c r="N546" s="15"/>
      <c r="O546" s="15"/>
      <c r="P546" s="15"/>
      <c r="Q546" s="11"/>
      <c r="R546" s="11"/>
      <c r="S546" s="11"/>
      <c r="T546" s="11"/>
      <c r="U546" s="15"/>
      <c r="V546" s="11"/>
      <c r="W546" s="11"/>
      <c r="X546" s="11"/>
      <c r="Y546" s="11"/>
      <c r="Z546" s="11"/>
    </row>
    <row r="547">
      <c r="A547" s="18"/>
      <c r="B547" s="11"/>
      <c r="C547" s="11"/>
      <c r="D547" s="11"/>
      <c r="E547" s="11"/>
      <c r="F547" s="11"/>
      <c r="G547" s="11"/>
      <c r="H547" s="11"/>
      <c r="I547" s="11"/>
      <c r="J547" s="11"/>
      <c r="K547" s="11"/>
      <c r="L547" s="15"/>
      <c r="M547" s="15"/>
      <c r="N547" s="15"/>
      <c r="O547" s="15"/>
      <c r="P547" s="15"/>
      <c r="Q547" s="11"/>
      <c r="R547" s="11"/>
      <c r="S547" s="11"/>
      <c r="T547" s="11"/>
      <c r="U547" s="15"/>
      <c r="V547" s="11"/>
      <c r="W547" s="11"/>
      <c r="X547" s="11"/>
      <c r="Y547" s="11"/>
      <c r="Z547" s="11"/>
    </row>
    <row r="548">
      <c r="A548" s="18"/>
      <c r="B548" s="11"/>
      <c r="C548" s="11"/>
      <c r="D548" s="11"/>
      <c r="E548" s="11"/>
      <c r="F548" s="11"/>
      <c r="G548" s="11"/>
      <c r="H548" s="11"/>
      <c r="I548" s="11"/>
      <c r="J548" s="11"/>
      <c r="K548" s="11"/>
      <c r="L548" s="15"/>
      <c r="M548" s="15"/>
      <c r="N548" s="15"/>
      <c r="O548" s="15"/>
      <c r="P548" s="15"/>
      <c r="Q548" s="11"/>
      <c r="R548" s="11"/>
      <c r="S548" s="11"/>
      <c r="T548" s="11"/>
      <c r="U548" s="15"/>
      <c r="V548" s="11"/>
      <c r="W548" s="11"/>
      <c r="X548" s="11"/>
      <c r="Y548" s="11"/>
      <c r="Z548" s="11"/>
    </row>
    <row r="549">
      <c r="A549" s="18"/>
      <c r="B549" s="11"/>
      <c r="C549" s="11"/>
      <c r="D549" s="11"/>
      <c r="E549" s="11"/>
      <c r="F549" s="11"/>
      <c r="G549" s="11"/>
      <c r="H549" s="11"/>
      <c r="I549" s="11"/>
      <c r="J549" s="11"/>
      <c r="K549" s="11"/>
      <c r="L549" s="15"/>
      <c r="M549" s="15"/>
      <c r="N549" s="15"/>
      <c r="O549" s="15"/>
      <c r="P549" s="15"/>
      <c r="Q549" s="11"/>
      <c r="R549" s="11"/>
      <c r="S549" s="11"/>
      <c r="T549" s="11"/>
      <c r="U549" s="15"/>
      <c r="V549" s="11"/>
      <c r="W549" s="11"/>
      <c r="X549" s="11"/>
      <c r="Y549" s="11"/>
      <c r="Z549" s="11"/>
    </row>
    <row r="550">
      <c r="A550" s="18"/>
      <c r="B550" s="11"/>
      <c r="C550" s="11"/>
      <c r="D550" s="11"/>
      <c r="E550" s="11"/>
      <c r="F550" s="11"/>
      <c r="G550" s="11"/>
      <c r="H550" s="11"/>
      <c r="I550" s="11"/>
      <c r="J550" s="11"/>
      <c r="K550" s="11"/>
      <c r="L550" s="15"/>
      <c r="M550" s="15"/>
      <c r="N550" s="15"/>
      <c r="O550" s="15"/>
      <c r="P550" s="15"/>
      <c r="Q550" s="11"/>
      <c r="R550" s="11"/>
      <c r="S550" s="11"/>
      <c r="T550" s="11"/>
      <c r="U550" s="15"/>
      <c r="V550" s="11"/>
      <c r="W550" s="11"/>
      <c r="X550" s="11"/>
      <c r="Y550" s="11"/>
      <c r="Z550" s="11"/>
    </row>
    <row r="551">
      <c r="A551" s="18"/>
      <c r="B551" s="11"/>
      <c r="C551" s="11"/>
      <c r="D551" s="11"/>
      <c r="E551" s="11"/>
      <c r="F551" s="11"/>
      <c r="G551" s="11"/>
      <c r="H551" s="11"/>
      <c r="I551" s="11"/>
      <c r="J551" s="11"/>
      <c r="K551" s="11"/>
      <c r="L551" s="15"/>
      <c r="M551" s="15"/>
      <c r="N551" s="15"/>
      <c r="O551" s="15"/>
      <c r="P551" s="15"/>
      <c r="Q551" s="11"/>
      <c r="R551" s="11"/>
      <c r="S551" s="11"/>
      <c r="T551" s="11"/>
      <c r="U551" s="15"/>
      <c r="V551" s="11"/>
      <c r="W551" s="11"/>
      <c r="X551" s="11"/>
      <c r="Y551" s="11"/>
      <c r="Z551" s="11"/>
    </row>
    <row r="552">
      <c r="A552" s="18"/>
      <c r="B552" s="11"/>
      <c r="C552" s="11"/>
      <c r="D552" s="11"/>
      <c r="E552" s="11"/>
      <c r="F552" s="11"/>
      <c r="G552" s="11"/>
      <c r="H552" s="11"/>
      <c r="I552" s="11"/>
      <c r="J552" s="11"/>
      <c r="K552" s="11"/>
      <c r="L552" s="15"/>
      <c r="M552" s="15"/>
      <c r="N552" s="15"/>
      <c r="O552" s="15"/>
      <c r="P552" s="15"/>
      <c r="Q552" s="11"/>
      <c r="R552" s="11"/>
      <c r="S552" s="11"/>
      <c r="T552" s="11"/>
      <c r="U552" s="15"/>
      <c r="V552" s="11"/>
      <c r="W552" s="11"/>
      <c r="X552" s="11"/>
      <c r="Y552" s="11"/>
      <c r="Z552" s="11"/>
    </row>
    <row r="553">
      <c r="A553" s="18"/>
      <c r="B553" s="11"/>
      <c r="C553" s="11"/>
      <c r="D553" s="11"/>
      <c r="E553" s="11"/>
      <c r="F553" s="11"/>
      <c r="G553" s="11"/>
      <c r="H553" s="11"/>
      <c r="I553" s="11"/>
      <c r="J553" s="11"/>
      <c r="K553" s="11"/>
      <c r="L553" s="15"/>
      <c r="M553" s="15"/>
      <c r="N553" s="15"/>
      <c r="O553" s="15"/>
      <c r="P553" s="15"/>
      <c r="Q553" s="11"/>
      <c r="R553" s="11"/>
      <c r="S553" s="11"/>
      <c r="T553" s="11"/>
      <c r="U553" s="15"/>
      <c r="V553" s="11"/>
      <c r="W553" s="11"/>
      <c r="X553" s="11"/>
      <c r="Y553" s="11"/>
      <c r="Z553" s="11"/>
    </row>
    <row r="554">
      <c r="A554" s="18"/>
      <c r="B554" s="11"/>
      <c r="C554" s="11"/>
      <c r="D554" s="11"/>
      <c r="E554" s="11"/>
      <c r="F554" s="11"/>
      <c r="G554" s="11"/>
      <c r="H554" s="11"/>
      <c r="I554" s="11"/>
      <c r="J554" s="11"/>
      <c r="K554" s="11"/>
      <c r="L554" s="15"/>
      <c r="M554" s="15"/>
      <c r="N554" s="15"/>
      <c r="O554" s="15"/>
      <c r="P554" s="15"/>
      <c r="Q554" s="11"/>
      <c r="R554" s="11"/>
      <c r="S554" s="11"/>
      <c r="T554" s="11"/>
      <c r="U554" s="15"/>
      <c r="V554" s="11"/>
      <c r="W554" s="11"/>
      <c r="X554" s="11"/>
      <c r="Y554" s="11"/>
      <c r="Z554" s="11"/>
    </row>
    <row r="555">
      <c r="A555" s="18"/>
      <c r="B555" s="11"/>
      <c r="C555" s="11"/>
      <c r="D555" s="11"/>
      <c r="E555" s="11"/>
      <c r="F555" s="11"/>
      <c r="G555" s="11"/>
      <c r="H555" s="11"/>
      <c r="I555" s="11"/>
      <c r="J555" s="11"/>
      <c r="K555" s="11"/>
      <c r="L555" s="15"/>
      <c r="M555" s="15"/>
      <c r="N555" s="15"/>
      <c r="O555" s="15"/>
      <c r="P555" s="15"/>
      <c r="Q555" s="11"/>
      <c r="R555" s="11"/>
      <c r="S555" s="11"/>
      <c r="T555" s="11"/>
      <c r="U555" s="15"/>
      <c r="V555" s="11"/>
      <c r="W555" s="11"/>
      <c r="X555" s="11"/>
      <c r="Y555" s="11"/>
      <c r="Z555" s="11"/>
    </row>
    <row r="556">
      <c r="A556" s="18"/>
      <c r="B556" s="11"/>
      <c r="C556" s="11"/>
      <c r="D556" s="11"/>
      <c r="E556" s="11"/>
      <c r="F556" s="11"/>
      <c r="G556" s="11"/>
      <c r="H556" s="11"/>
      <c r="I556" s="11"/>
      <c r="J556" s="11"/>
      <c r="K556" s="11"/>
      <c r="L556" s="15"/>
      <c r="M556" s="15"/>
      <c r="N556" s="15"/>
      <c r="O556" s="15"/>
      <c r="P556" s="15"/>
      <c r="Q556" s="11"/>
      <c r="R556" s="11"/>
      <c r="S556" s="11"/>
      <c r="T556" s="11"/>
      <c r="U556" s="15"/>
      <c r="V556" s="11"/>
      <c r="W556" s="11"/>
      <c r="X556" s="11"/>
      <c r="Y556" s="11"/>
      <c r="Z556" s="11"/>
    </row>
    <row r="557">
      <c r="A557" s="18"/>
      <c r="B557" s="11"/>
      <c r="C557" s="11"/>
      <c r="D557" s="11"/>
      <c r="E557" s="11"/>
      <c r="F557" s="11"/>
      <c r="G557" s="11"/>
      <c r="H557" s="11"/>
      <c r="I557" s="11"/>
      <c r="J557" s="11"/>
      <c r="K557" s="11"/>
      <c r="L557" s="15"/>
      <c r="M557" s="15"/>
      <c r="N557" s="15"/>
      <c r="O557" s="15"/>
      <c r="P557" s="15"/>
      <c r="Q557" s="11"/>
      <c r="R557" s="11"/>
      <c r="S557" s="11"/>
      <c r="T557" s="11"/>
      <c r="U557" s="15"/>
      <c r="V557" s="11"/>
      <c r="W557" s="11"/>
      <c r="X557" s="11"/>
      <c r="Y557" s="11"/>
      <c r="Z557" s="11"/>
    </row>
    <row r="558">
      <c r="A558" s="18"/>
      <c r="B558" s="11"/>
      <c r="C558" s="11"/>
      <c r="D558" s="11"/>
      <c r="E558" s="11"/>
      <c r="F558" s="11"/>
      <c r="G558" s="11"/>
      <c r="H558" s="11"/>
      <c r="I558" s="11"/>
      <c r="J558" s="11"/>
      <c r="K558" s="11"/>
      <c r="L558" s="15"/>
      <c r="M558" s="15"/>
      <c r="N558" s="15"/>
      <c r="O558" s="15"/>
      <c r="P558" s="15"/>
      <c r="Q558" s="11"/>
      <c r="R558" s="11"/>
      <c r="S558" s="11"/>
      <c r="T558" s="11"/>
      <c r="U558" s="15"/>
      <c r="V558" s="11"/>
      <c r="W558" s="11"/>
      <c r="X558" s="11"/>
      <c r="Y558" s="11"/>
      <c r="Z558" s="11"/>
    </row>
    <row r="559">
      <c r="A559" s="18"/>
      <c r="B559" s="11"/>
      <c r="C559" s="11"/>
      <c r="D559" s="11"/>
      <c r="E559" s="11"/>
      <c r="F559" s="11"/>
      <c r="G559" s="11"/>
      <c r="H559" s="11"/>
      <c r="I559" s="11"/>
      <c r="J559" s="11"/>
      <c r="K559" s="11"/>
      <c r="L559" s="15"/>
      <c r="M559" s="15"/>
      <c r="N559" s="15"/>
      <c r="O559" s="15"/>
      <c r="P559" s="15"/>
      <c r="Q559" s="11"/>
      <c r="R559" s="11"/>
      <c r="S559" s="11"/>
      <c r="T559" s="11"/>
      <c r="U559" s="15"/>
      <c r="V559" s="11"/>
      <c r="W559" s="11"/>
      <c r="X559" s="11"/>
      <c r="Y559" s="11"/>
      <c r="Z559" s="11"/>
    </row>
    <row r="560">
      <c r="A560" s="18"/>
      <c r="B560" s="11"/>
      <c r="C560" s="11"/>
      <c r="D560" s="11"/>
      <c r="E560" s="11"/>
      <c r="F560" s="11"/>
      <c r="G560" s="11"/>
      <c r="H560" s="11"/>
      <c r="I560" s="11"/>
      <c r="J560" s="11"/>
      <c r="K560" s="11"/>
      <c r="L560" s="15"/>
      <c r="M560" s="15"/>
      <c r="N560" s="15"/>
      <c r="O560" s="15"/>
      <c r="P560" s="15"/>
      <c r="Q560" s="11"/>
      <c r="R560" s="11"/>
      <c r="S560" s="11"/>
      <c r="T560" s="11"/>
      <c r="U560" s="15"/>
      <c r="V560" s="11"/>
      <c r="W560" s="11"/>
      <c r="X560" s="11"/>
      <c r="Y560" s="11"/>
      <c r="Z560" s="11"/>
    </row>
    <row r="561">
      <c r="A561" s="18"/>
      <c r="B561" s="11"/>
      <c r="C561" s="11"/>
      <c r="D561" s="11"/>
      <c r="E561" s="11"/>
      <c r="F561" s="11"/>
      <c r="G561" s="11"/>
      <c r="H561" s="11"/>
      <c r="I561" s="11"/>
      <c r="J561" s="11"/>
      <c r="K561" s="11"/>
      <c r="L561" s="15"/>
      <c r="M561" s="15"/>
      <c r="N561" s="15"/>
      <c r="O561" s="15"/>
      <c r="P561" s="15"/>
      <c r="Q561" s="11"/>
      <c r="R561" s="11"/>
      <c r="S561" s="11"/>
      <c r="T561" s="11"/>
      <c r="U561" s="15"/>
      <c r="V561" s="11"/>
      <c r="W561" s="11"/>
      <c r="X561" s="11"/>
      <c r="Y561" s="11"/>
      <c r="Z561" s="11"/>
    </row>
    <row r="562">
      <c r="A562" s="18"/>
      <c r="B562" s="11"/>
      <c r="C562" s="11"/>
      <c r="D562" s="11"/>
      <c r="E562" s="11"/>
      <c r="F562" s="11"/>
      <c r="G562" s="11"/>
      <c r="H562" s="11"/>
      <c r="I562" s="11"/>
      <c r="J562" s="11"/>
      <c r="K562" s="11"/>
      <c r="L562" s="15"/>
      <c r="M562" s="15"/>
      <c r="N562" s="15"/>
      <c r="O562" s="15"/>
      <c r="P562" s="15"/>
      <c r="Q562" s="11"/>
      <c r="R562" s="11"/>
      <c r="S562" s="11"/>
      <c r="T562" s="11"/>
      <c r="U562" s="15"/>
      <c r="V562" s="11"/>
      <c r="W562" s="11"/>
      <c r="X562" s="11"/>
      <c r="Y562" s="11"/>
      <c r="Z562" s="11"/>
    </row>
    <row r="563">
      <c r="A563" s="18"/>
      <c r="B563" s="11"/>
      <c r="C563" s="11"/>
      <c r="D563" s="11"/>
      <c r="E563" s="11"/>
      <c r="F563" s="11"/>
      <c r="G563" s="11"/>
      <c r="H563" s="11"/>
      <c r="I563" s="11"/>
      <c r="J563" s="11"/>
      <c r="K563" s="11"/>
      <c r="L563" s="15"/>
      <c r="M563" s="15"/>
      <c r="N563" s="15"/>
      <c r="O563" s="15"/>
      <c r="P563" s="15"/>
      <c r="Q563" s="11"/>
      <c r="R563" s="11"/>
      <c r="S563" s="11"/>
      <c r="T563" s="11"/>
      <c r="U563" s="15"/>
      <c r="V563" s="11"/>
      <c r="W563" s="11"/>
      <c r="X563" s="11"/>
      <c r="Y563" s="11"/>
      <c r="Z563" s="11"/>
    </row>
    <row r="564">
      <c r="A564" s="18"/>
      <c r="B564" s="11"/>
      <c r="C564" s="11"/>
      <c r="D564" s="11"/>
      <c r="E564" s="11"/>
      <c r="F564" s="11"/>
      <c r="G564" s="11"/>
      <c r="H564" s="11"/>
      <c r="I564" s="11"/>
      <c r="J564" s="11"/>
      <c r="K564" s="11"/>
      <c r="L564" s="15"/>
      <c r="M564" s="15"/>
      <c r="N564" s="15"/>
      <c r="O564" s="15"/>
      <c r="P564" s="15"/>
      <c r="Q564" s="11"/>
      <c r="R564" s="11"/>
      <c r="S564" s="11"/>
      <c r="T564" s="11"/>
      <c r="U564" s="15"/>
      <c r="V564" s="11"/>
      <c r="W564" s="11"/>
      <c r="X564" s="11"/>
      <c r="Y564" s="11"/>
      <c r="Z564" s="11"/>
    </row>
    <row r="565">
      <c r="A565" s="18"/>
      <c r="B565" s="11"/>
      <c r="C565" s="11"/>
      <c r="D565" s="11"/>
      <c r="E565" s="11"/>
      <c r="F565" s="11"/>
      <c r="G565" s="11"/>
      <c r="H565" s="11"/>
      <c r="I565" s="11"/>
      <c r="J565" s="11"/>
      <c r="K565" s="11"/>
      <c r="L565" s="15"/>
      <c r="M565" s="15"/>
      <c r="N565" s="15"/>
      <c r="O565" s="15"/>
      <c r="P565" s="15"/>
      <c r="Q565" s="11"/>
      <c r="R565" s="11"/>
      <c r="S565" s="11"/>
      <c r="T565" s="11"/>
      <c r="U565" s="15"/>
      <c r="V565" s="11"/>
      <c r="W565" s="11"/>
      <c r="X565" s="11"/>
      <c r="Y565" s="11"/>
      <c r="Z565" s="11"/>
    </row>
    <row r="566">
      <c r="A566" s="18"/>
      <c r="B566" s="11"/>
      <c r="C566" s="11"/>
      <c r="D566" s="11"/>
      <c r="E566" s="11"/>
      <c r="F566" s="11"/>
      <c r="G566" s="11"/>
      <c r="H566" s="11"/>
      <c r="I566" s="11"/>
      <c r="J566" s="11"/>
      <c r="K566" s="11"/>
      <c r="L566" s="15"/>
      <c r="M566" s="15"/>
      <c r="N566" s="15"/>
      <c r="O566" s="15"/>
      <c r="P566" s="15"/>
      <c r="Q566" s="11"/>
      <c r="R566" s="11"/>
      <c r="S566" s="11"/>
      <c r="T566" s="11"/>
      <c r="U566" s="15"/>
      <c r="V566" s="11"/>
      <c r="W566" s="11"/>
      <c r="X566" s="11"/>
      <c r="Y566" s="11"/>
      <c r="Z566" s="11"/>
    </row>
    <row r="567">
      <c r="A567" s="18"/>
      <c r="B567" s="11"/>
      <c r="C567" s="11"/>
      <c r="D567" s="11"/>
      <c r="E567" s="11"/>
      <c r="F567" s="11"/>
      <c r="G567" s="11"/>
      <c r="H567" s="11"/>
      <c r="I567" s="11"/>
      <c r="J567" s="11"/>
      <c r="K567" s="11"/>
      <c r="L567" s="15"/>
      <c r="M567" s="15"/>
      <c r="N567" s="15"/>
      <c r="O567" s="15"/>
      <c r="P567" s="15"/>
      <c r="Q567" s="11"/>
      <c r="R567" s="11"/>
      <c r="S567" s="11"/>
      <c r="T567" s="11"/>
      <c r="U567" s="15"/>
      <c r="V567" s="11"/>
      <c r="W567" s="11"/>
      <c r="X567" s="11"/>
      <c r="Y567" s="11"/>
      <c r="Z567" s="11"/>
    </row>
    <row r="568">
      <c r="A568" s="18"/>
      <c r="B568" s="11"/>
      <c r="C568" s="11"/>
      <c r="D568" s="11"/>
      <c r="E568" s="11"/>
      <c r="F568" s="11"/>
      <c r="G568" s="11"/>
      <c r="H568" s="11"/>
      <c r="I568" s="11"/>
      <c r="J568" s="11"/>
      <c r="K568" s="11"/>
      <c r="L568" s="15"/>
      <c r="M568" s="15"/>
      <c r="N568" s="15"/>
      <c r="O568" s="15"/>
      <c r="P568" s="15"/>
      <c r="Q568" s="11"/>
      <c r="R568" s="11"/>
      <c r="S568" s="11"/>
      <c r="T568" s="11"/>
      <c r="U568" s="15"/>
      <c r="V568" s="11"/>
      <c r="W568" s="11"/>
      <c r="X568" s="11"/>
      <c r="Y568" s="11"/>
      <c r="Z568" s="11"/>
    </row>
    <row r="569">
      <c r="A569" s="18"/>
      <c r="B569" s="11"/>
      <c r="C569" s="11"/>
      <c r="D569" s="11"/>
      <c r="E569" s="11"/>
      <c r="F569" s="11"/>
      <c r="G569" s="11"/>
      <c r="H569" s="11"/>
      <c r="I569" s="11"/>
      <c r="J569" s="11"/>
      <c r="K569" s="11"/>
      <c r="L569" s="15"/>
      <c r="M569" s="15"/>
      <c r="N569" s="15"/>
      <c r="O569" s="15"/>
      <c r="P569" s="15"/>
      <c r="Q569" s="11"/>
      <c r="R569" s="11"/>
      <c r="S569" s="11"/>
      <c r="T569" s="11"/>
      <c r="U569" s="15"/>
      <c r="V569" s="11"/>
      <c r="W569" s="11"/>
      <c r="X569" s="11"/>
      <c r="Y569" s="11"/>
      <c r="Z569" s="11"/>
    </row>
    <row r="570">
      <c r="A570" s="18"/>
      <c r="B570" s="11"/>
      <c r="C570" s="11"/>
      <c r="D570" s="11"/>
      <c r="E570" s="11"/>
      <c r="F570" s="11"/>
      <c r="G570" s="11"/>
      <c r="H570" s="11"/>
      <c r="I570" s="11"/>
      <c r="J570" s="11"/>
      <c r="K570" s="11"/>
      <c r="L570" s="15"/>
      <c r="M570" s="15"/>
      <c r="N570" s="15"/>
      <c r="O570" s="15"/>
      <c r="P570" s="15"/>
      <c r="Q570" s="11"/>
      <c r="R570" s="11"/>
      <c r="S570" s="11"/>
      <c r="T570" s="11"/>
      <c r="U570" s="15"/>
      <c r="V570" s="11"/>
      <c r="W570" s="11"/>
      <c r="X570" s="11"/>
      <c r="Y570" s="11"/>
      <c r="Z570" s="11"/>
    </row>
    <row r="571">
      <c r="A571" s="18"/>
      <c r="B571" s="11"/>
      <c r="C571" s="11"/>
      <c r="D571" s="11"/>
      <c r="E571" s="11"/>
      <c r="F571" s="11"/>
      <c r="G571" s="11"/>
      <c r="H571" s="11"/>
      <c r="I571" s="11"/>
      <c r="J571" s="11"/>
      <c r="K571" s="11"/>
      <c r="L571" s="15"/>
      <c r="M571" s="15"/>
      <c r="N571" s="15"/>
      <c r="O571" s="15"/>
      <c r="P571" s="15"/>
      <c r="Q571" s="11"/>
      <c r="R571" s="11"/>
      <c r="S571" s="11"/>
      <c r="T571" s="11"/>
      <c r="U571" s="15"/>
      <c r="V571" s="11"/>
      <c r="W571" s="11"/>
      <c r="X571" s="11"/>
      <c r="Y571" s="11"/>
      <c r="Z571" s="11"/>
    </row>
    <row r="572">
      <c r="A572" s="18"/>
      <c r="B572" s="11"/>
      <c r="C572" s="11"/>
      <c r="D572" s="11"/>
      <c r="E572" s="11"/>
      <c r="F572" s="11"/>
      <c r="G572" s="11"/>
      <c r="H572" s="11"/>
      <c r="I572" s="11"/>
      <c r="J572" s="11"/>
      <c r="K572" s="11"/>
      <c r="L572" s="15"/>
      <c r="M572" s="15"/>
      <c r="N572" s="15"/>
      <c r="O572" s="15"/>
      <c r="P572" s="15"/>
      <c r="Q572" s="11"/>
      <c r="R572" s="11"/>
      <c r="S572" s="11"/>
      <c r="T572" s="11"/>
      <c r="U572" s="15"/>
      <c r="V572" s="11"/>
      <c r="W572" s="11"/>
      <c r="X572" s="11"/>
      <c r="Y572" s="11"/>
      <c r="Z572" s="11"/>
    </row>
    <row r="573">
      <c r="A573" s="18"/>
      <c r="B573" s="11"/>
      <c r="C573" s="11"/>
      <c r="D573" s="11"/>
      <c r="E573" s="11"/>
      <c r="F573" s="11"/>
      <c r="G573" s="11"/>
      <c r="H573" s="11"/>
      <c r="I573" s="11"/>
      <c r="J573" s="11"/>
      <c r="K573" s="11"/>
      <c r="L573" s="15"/>
      <c r="M573" s="15"/>
      <c r="N573" s="15"/>
      <c r="O573" s="15"/>
      <c r="P573" s="15"/>
      <c r="Q573" s="11"/>
      <c r="R573" s="11"/>
      <c r="S573" s="11"/>
      <c r="T573" s="11"/>
      <c r="U573" s="15"/>
      <c r="V573" s="11"/>
      <c r="W573" s="11"/>
      <c r="X573" s="11"/>
      <c r="Y573" s="11"/>
      <c r="Z573" s="11"/>
    </row>
    <row r="574">
      <c r="A574" s="18"/>
      <c r="B574" s="11"/>
      <c r="C574" s="11"/>
      <c r="D574" s="11"/>
      <c r="E574" s="11"/>
      <c r="F574" s="11"/>
      <c r="G574" s="11"/>
      <c r="H574" s="11"/>
      <c r="I574" s="11"/>
      <c r="J574" s="11"/>
      <c r="K574" s="11"/>
      <c r="L574" s="15"/>
      <c r="M574" s="15"/>
      <c r="N574" s="15"/>
      <c r="O574" s="15"/>
      <c r="P574" s="15"/>
      <c r="Q574" s="11"/>
      <c r="R574" s="11"/>
      <c r="S574" s="11"/>
      <c r="T574" s="11"/>
      <c r="U574" s="15"/>
      <c r="V574" s="11"/>
      <c r="W574" s="11"/>
      <c r="X574" s="11"/>
      <c r="Y574" s="11"/>
      <c r="Z574" s="11"/>
    </row>
    <row r="575">
      <c r="A575" s="18"/>
      <c r="B575" s="11"/>
      <c r="C575" s="11"/>
      <c r="D575" s="11"/>
      <c r="E575" s="11"/>
      <c r="F575" s="11"/>
      <c r="G575" s="11"/>
      <c r="H575" s="11"/>
      <c r="I575" s="11"/>
      <c r="J575" s="11"/>
      <c r="K575" s="11"/>
      <c r="L575" s="15"/>
      <c r="M575" s="15"/>
      <c r="N575" s="15"/>
      <c r="O575" s="15"/>
      <c r="P575" s="15"/>
      <c r="Q575" s="11"/>
      <c r="R575" s="11"/>
      <c r="S575" s="11"/>
      <c r="T575" s="11"/>
      <c r="U575" s="15"/>
      <c r="V575" s="11"/>
      <c r="W575" s="11"/>
      <c r="X575" s="11"/>
      <c r="Y575" s="11"/>
      <c r="Z575" s="11"/>
    </row>
    <row r="576">
      <c r="A576" s="18"/>
      <c r="B576" s="11"/>
      <c r="C576" s="11"/>
      <c r="D576" s="11"/>
      <c r="E576" s="11"/>
      <c r="F576" s="11"/>
      <c r="G576" s="11"/>
      <c r="H576" s="11"/>
      <c r="I576" s="11"/>
      <c r="J576" s="11"/>
      <c r="K576" s="11"/>
      <c r="L576" s="15"/>
      <c r="M576" s="15"/>
      <c r="N576" s="15"/>
      <c r="O576" s="15"/>
      <c r="P576" s="15"/>
      <c r="Q576" s="11"/>
      <c r="R576" s="11"/>
      <c r="S576" s="11"/>
      <c r="T576" s="11"/>
      <c r="U576" s="15"/>
      <c r="V576" s="11"/>
      <c r="W576" s="11"/>
      <c r="X576" s="11"/>
      <c r="Y576" s="11"/>
      <c r="Z576" s="11"/>
    </row>
    <row r="577">
      <c r="A577" s="18"/>
      <c r="B577" s="11"/>
      <c r="C577" s="11"/>
      <c r="D577" s="11"/>
      <c r="E577" s="11"/>
      <c r="F577" s="11"/>
      <c r="G577" s="11"/>
      <c r="H577" s="11"/>
      <c r="I577" s="11"/>
      <c r="J577" s="11"/>
      <c r="K577" s="11"/>
      <c r="L577" s="15"/>
      <c r="M577" s="15"/>
      <c r="N577" s="15"/>
      <c r="O577" s="15"/>
      <c r="P577" s="15"/>
      <c r="Q577" s="11"/>
      <c r="R577" s="11"/>
      <c r="S577" s="11"/>
      <c r="T577" s="11"/>
      <c r="U577" s="15"/>
      <c r="V577" s="11"/>
      <c r="W577" s="11"/>
      <c r="X577" s="11"/>
      <c r="Y577" s="11"/>
      <c r="Z577" s="11"/>
    </row>
    <row r="578">
      <c r="A578" s="18"/>
      <c r="B578" s="11"/>
      <c r="C578" s="11"/>
      <c r="D578" s="11"/>
      <c r="E578" s="11"/>
      <c r="F578" s="11"/>
      <c r="G578" s="11"/>
      <c r="H578" s="11"/>
      <c r="I578" s="11"/>
      <c r="J578" s="11"/>
      <c r="K578" s="11"/>
      <c r="L578" s="15"/>
      <c r="M578" s="15"/>
      <c r="N578" s="15"/>
      <c r="O578" s="15"/>
      <c r="P578" s="15"/>
      <c r="Q578" s="11"/>
      <c r="R578" s="11"/>
      <c r="S578" s="11"/>
      <c r="T578" s="11"/>
      <c r="U578" s="15"/>
      <c r="V578" s="11"/>
      <c r="W578" s="11"/>
      <c r="X578" s="11"/>
      <c r="Y578" s="11"/>
      <c r="Z578" s="11"/>
    </row>
    <row r="579">
      <c r="A579" s="18"/>
      <c r="B579" s="11"/>
      <c r="C579" s="11"/>
      <c r="D579" s="11"/>
      <c r="E579" s="11"/>
      <c r="F579" s="11"/>
      <c r="G579" s="11"/>
      <c r="H579" s="11"/>
      <c r="I579" s="11"/>
      <c r="J579" s="11"/>
      <c r="K579" s="11"/>
      <c r="L579" s="15"/>
      <c r="M579" s="15"/>
      <c r="N579" s="15"/>
      <c r="O579" s="15"/>
      <c r="P579" s="15"/>
      <c r="Q579" s="11"/>
      <c r="R579" s="11"/>
      <c r="S579" s="11"/>
      <c r="T579" s="11"/>
      <c r="U579" s="15"/>
      <c r="V579" s="11"/>
      <c r="W579" s="11"/>
      <c r="X579" s="11"/>
      <c r="Y579" s="11"/>
      <c r="Z579" s="11"/>
    </row>
    <row r="580">
      <c r="A580" s="18"/>
      <c r="B580" s="11"/>
      <c r="C580" s="11"/>
      <c r="D580" s="11"/>
      <c r="E580" s="11"/>
      <c r="F580" s="11"/>
      <c r="G580" s="11"/>
      <c r="H580" s="11"/>
      <c r="I580" s="11"/>
      <c r="J580" s="11"/>
      <c r="K580" s="11"/>
      <c r="L580" s="15"/>
      <c r="M580" s="15"/>
      <c r="N580" s="15"/>
      <c r="O580" s="15"/>
      <c r="P580" s="15"/>
      <c r="Q580" s="11"/>
      <c r="R580" s="11"/>
      <c r="S580" s="11"/>
      <c r="T580" s="11"/>
      <c r="U580" s="15"/>
      <c r="V580" s="11"/>
      <c r="W580" s="11"/>
      <c r="X580" s="11"/>
      <c r="Y580" s="11"/>
      <c r="Z580" s="11"/>
    </row>
    <row r="581">
      <c r="A581" s="18"/>
      <c r="B581" s="11"/>
      <c r="C581" s="11"/>
      <c r="D581" s="11"/>
      <c r="E581" s="11"/>
      <c r="F581" s="11"/>
      <c r="G581" s="11"/>
      <c r="H581" s="11"/>
      <c r="I581" s="11"/>
      <c r="J581" s="11"/>
      <c r="K581" s="11"/>
      <c r="L581" s="15"/>
      <c r="M581" s="15"/>
      <c r="N581" s="15"/>
      <c r="O581" s="15"/>
      <c r="P581" s="15"/>
      <c r="Q581" s="11"/>
      <c r="R581" s="11"/>
      <c r="S581" s="11"/>
      <c r="T581" s="11"/>
      <c r="U581" s="15"/>
      <c r="V581" s="11"/>
      <c r="W581" s="11"/>
      <c r="X581" s="11"/>
      <c r="Y581" s="11"/>
      <c r="Z581" s="11"/>
    </row>
    <row r="582">
      <c r="A582" s="18"/>
      <c r="B582" s="11"/>
      <c r="C582" s="11"/>
      <c r="D582" s="11"/>
      <c r="E582" s="11"/>
      <c r="F582" s="11"/>
      <c r="G582" s="11"/>
      <c r="H582" s="11"/>
      <c r="I582" s="11"/>
      <c r="J582" s="11"/>
      <c r="K582" s="11"/>
      <c r="L582" s="15"/>
      <c r="M582" s="15"/>
      <c r="N582" s="15"/>
      <c r="O582" s="15"/>
      <c r="P582" s="15"/>
      <c r="Q582" s="11"/>
      <c r="R582" s="11"/>
      <c r="S582" s="11"/>
      <c r="T582" s="11"/>
      <c r="U582" s="15"/>
      <c r="V582" s="11"/>
      <c r="W582" s="11"/>
      <c r="X582" s="11"/>
      <c r="Y582" s="11"/>
      <c r="Z582" s="11"/>
    </row>
    <row r="583">
      <c r="A583" s="18"/>
      <c r="B583" s="11"/>
      <c r="C583" s="11"/>
      <c r="D583" s="11"/>
      <c r="E583" s="11"/>
      <c r="F583" s="11"/>
      <c r="G583" s="11"/>
      <c r="H583" s="11"/>
      <c r="I583" s="11"/>
      <c r="J583" s="11"/>
      <c r="K583" s="11"/>
      <c r="L583" s="15"/>
      <c r="M583" s="15"/>
      <c r="N583" s="15"/>
      <c r="O583" s="15"/>
      <c r="P583" s="15"/>
      <c r="Q583" s="11"/>
      <c r="R583" s="11"/>
      <c r="S583" s="11"/>
      <c r="T583" s="11"/>
      <c r="U583" s="15"/>
      <c r="V583" s="11"/>
      <c r="W583" s="11"/>
      <c r="X583" s="11"/>
      <c r="Y583" s="11"/>
      <c r="Z583" s="11"/>
    </row>
    <row r="584">
      <c r="A584" s="18"/>
      <c r="B584" s="11"/>
      <c r="C584" s="11"/>
      <c r="D584" s="11"/>
      <c r="E584" s="11"/>
      <c r="F584" s="11"/>
      <c r="G584" s="11"/>
      <c r="H584" s="11"/>
      <c r="I584" s="11"/>
      <c r="J584" s="11"/>
      <c r="K584" s="11"/>
      <c r="L584" s="15"/>
      <c r="M584" s="15"/>
      <c r="N584" s="15"/>
      <c r="O584" s="15"/>
      <c r="P584" s="15"/>
      <c r="Q584" s="11"/>
      <c r="R584" s="11"/>
      <c r="S584" s="11"/>
      <c r="T584" s="11"/>
      <c r="U584" s="15"/>
      <c r="V584" s="11"/>
      <c r="W584" s="11"/>
      <c r="X584" s="11"/>
      <c r="Y584" s="11"/>
      <c r="Z584" s="11"/>
    </row>
    <row r="585">
      <c r="A585" s="18"/>
      <c r="B585" s="11"/>
      <c r="C585" s="11"/>
      <c r="D585" s="11"/>
      <c r="E585" s="11"/>
      <c r="F585" s="11"/>
      <c r="G585" s="11"/>
      <c r="H585" s="11"/>
      <c r="I585" s="11"/>
      <c r="J585" s="11"/>
      <c r="K585" s="11"/>
      <c r="L585" s="15"/>
      <c r="M585" s="15"/>
      <c r="N585" s="15"/>
      <c r="O585" s="15"/>
      <c r="P585" s="15"/>
      <c r="Q585" s="11"/>
      <c r="R585" s="11"/>
      <c r="S585" s="11"/>
      <c r="T585" s="11"/>
      <c r="U585" s="15"/>
      <c r="V585" s="11"/>
      <c r="W585" s="11"/>
      <c r="X585" s="11"/>
      <c r="Y585" s="11"/>
      <c r="Z585" s="11"/>
    </row>
    <row r="586">
      <c r="A586" s="18"/>
      <c r="B586" s="11"/>
      <c r="C586" s="11"/>
      <c r="D586" s="11"/>
      <c r="E586" s="11"/>
      <c r="F586" s="11"/>
      <c r="G586" s="11"/>
      <c r="H586" s="11"/>
      <c r="I586" s="11"/>
      <c r="J586" s="11"/>
      <c r="K586" s="11"/>
      <c r="L586" s="15"/>
      <c r="M586" s="15"/>
      <c r="N586" s="15"/>
      <c r="O586" s="15"/>
      <c r="P586" s="15"/>
      <c r="Q586" s="11"/>
      <c r="R586" s="11"/>
      <c r="S586" s="11"/>
      <c r="T586" s="11"/>
      <c r="U586" s="15"/>
      <c r="V586" s="11"/>
      <c r="W586" s="11"/>
      <c r="X586" s="11"/>
      <c r="Y586" s="11"/>
      <c r="Z586" s="11"/>
    </row>
    <row r="587">
      <c r="A587" s="18"/>
      <c r="B587" s="11"/>
      <c r="C587" s="11"/>
      <c r="D587" s="11"/>
      <c r="E587" s="11"/>
      <c r="F587" s="11"/>
      <c r="G587" s="11"/>
      <c r="H587" s="11"/>
      <c r="I587" s="11"/>
      <c r="J587" s="11"/>
      <c r="K587" s="11"/>
      <c r="L587" s="15"/>
      <c r="M587" s="15"/>
      <c r="N587" s="15"/>
      <c r="O587" s="15"/>
      <c r="P587" s="15"/>
      <c r="Q587" s="11"/>
      <c r="R587" s="11"/>
      <c r="S587" s="11"/>
      <c r="T587" s="11"/>
      <c r="U587" s="15"/>
      <c r="V587" s="11"/>
      <c r="W587" s="11"/>
      <c r="X587" s="11"/>
      <c r="Y587" s="11"/>
      <c r="Z587" s="11"/>
    </row>
    <row r="588">
      <c r="A588" s="18"/>
      <c r="B588" s="11"/>
      <c r="C588" s="11"/>
      <c r="D588" s="11"/>
      <c r="E588" s="11"/>
      <c r="F588" s="11"/>
      <c r="G588" s="11"/>
      <c r="H588" s="11"/>
      <c r="I588" s="11"/>
      <c r="J588" s="11"/>
      <c r="K588" s="11"/>
      <c r="L588" s="15"/>
      <c r="M588" s="15"/>
      <c r="N588" s="15"/>
      <c r="O588" s="15"/>
      <c r="P588" s="15"/>
      <c r="Q588" s="11"/>
      <c r="R588" s="11"/>
      <c r="S588" s="11"/>
      <c r="T588" s="11"/>
      <c r="U588" s="15"/>
      <c r="V588" s="11"/>
      <c r="W588" s="11"/>
      <c r="X588" s="11"/>
      <c r="Y588" s="11"/>
      <c r="Z588" s="11"/>
    </row>
    <row r="589">
      <c r="A589" s="18"/>
      <c r="B589" s="11"/>
      <c r="C589" s="11"/>
      <c r="D589" s="11"/>
      <c r="E589" s="11"/>
      <c r="F589" s="11"/>
      <c r="G589" s="11"/>
      <c r="H589" s="11"/>
      <c r="I589" s="11"/>
      <c r="J589" s="11"/>
      <c r="K589" s="11"/>
      <c r="L589" s="15"/>
      <c r="M589" s="15"/>
      <c r="N589" s="15"/>
      <c r="O589" s="15"/>
      <c r="P589" s="15"/>
      <c r="Q589" s="11"/>
      <c r="R589" s="11"/>
      <c r="S589" s="11"/>
      <c r="T589" s="11"/>
      <c r="U589" s="15"/>
      <c r="V589" s="11"/>
      <c r="W589" s="11"/>
      <c r="X589" s="11"/>
      <c r="Y589" s="11"/>
      <c r="Z589" s="11"/>
    </row>
    <row r="590">
      <c r="A590" s="18"/>
      <c r="B590" s="11"/>
      <c r="C590" s="11"/>
      <c r="D590" s="11"/>
      <c r="E590" s="11"/>
      <c r="F590" s="11"/>
      <c r="G590" s="11"/>
      <c r="H590" s="11"/>
      <c r="I590" s="11"/>
      <c r="J590" s="11"/>
      <c r="K590" s="11"/>
      <c r="L590" s="15"/>
      <c r="M590" s="15"/>
      <c r="N590" s="15"/>
      <c r="O590" s="15"/>
      <c r="P590" s="15"/>
      <c r="Q590" s="11"/>
      <c r="R590" s="11"/>
      <c r="S590" s="11"/>
      <c r="T590" s="11"/>
      <c r="U590" s="15"/>
      <c r="V590" s="11"/>
      <c r="W590" s="11"/>
      <c r="X590" s="11"/>
      <c r="Y590" s="11"/>
      <c r="Z590" s="11"/>
    </row>
    <row r="591">
      <c r="A591" s="18"/>
      <c r="B591" s="11"/>
      <c r="C591" s="11"/>
      <c r="D591" s="11"/>
      <c r="E591" s="11"/>
      <c r="F591" s="11"/>
      <c r="G591" s="11"/>
      <c r="H591" s="11"/>
      <c r="I591" s="11"/>
      <c r="J591" s="11"/>
      <c r="K591" s="11"/>
      <c r="L591" s="15"/>
      <c r="M591" s="15"/>
      <c r="N591" s="15"/>
      <c r="O591" s="15"/>
      <c r="P591" s="15"/>
      <c r="Q591" s="11"/>
      <c r="R591" s="11"/>
      <c r="S591" s="11"/>
      <c r="T591" s="11"/>
      <c r="U591" s="15"/>
      <c r="V591" s="11"/>
      <c r="W591" s="11"/>
      <c r="X591" s="11"/>
      <c r="Y591" s="11"/>
      <c r="Z591" s="11"/>
    </row>
    <row r="592">
      <c r="A592" s="18"/>
      <c r="B592" s="11"/>
      <c r="C592" s="11"/>
      <c r="D592" s="11"/>
      <c r="E592" s="11"/>
      <c r="F592" s="11"/>
      <c r="G592" s="11"/>
      <c r="H592" s="11"/>
      <c r="I592" s="11"/>
      <c r="J592" s="11"/>
      <c r="K592" s="11"/>
      <c r="L592" s="15"/>
      <c r="M592" s="15"/>
      <c r="N592" s="15"/>
      <c r="O592" s="15"/>
      <c r="P592" s="15"/>
      <c r="Q592" s="11"/>
      <c r="R592" s="11"/>
      <c r="S592" s="11"/>
      <c r="T592" s="11"/>
      <c r="U592" s="15"/>
      <c r="V592" s="11"/>
      <c r="W592" s="11"/>
      <c r="X592" s="11"/>
      <c r="Y592" s="11"/>
      <c r="Z592" s="11"/>
    </row>
    <row r="593">
      <c r="A593" s="18"/>
      <c r="B593" s="11"/>
      <c r="C593" s="11"/>
      <c r="D593" s="11"/>
      <c r="E593" s="11"/>
      <c r="F593" s="11"/>
      <c r="G593" s="11"/>
      <c r="H593" s="11"/>
      <c r="I593" s="11"/>
      <c r="J593" s="11"/>
      <c r="K593" s="11"/>
      <c r="L593" s="15"/>
      <c r="M593" s="15"/>
      <c r="N593" s="15"/>
      <c r="O593" s="15"/>
      <c r="P593" s="15"/>
      <c r="Q593" s="11"/>
      <c r="R593" s="11"/>
      <c r="S593" s="11"/>
      <c r="T593" s="11"/>
      <c r="U593" s="15"/>
      <c r="V593" s="11"/>
      <c r="W593" s="11"/>
      <c r="X593" s="11"/>
      <c r="Y593" s="11"/>
      <c r="Z593" s="11"/>
    </row>
    <row r="594">
      <c r="A594" s="18"/>
      <c r="B594" s="11"/>
      <c r="C594" s="11"/>
      <c r="D594" s="11"/>
      <c r="E594" s="11"/>
      <c r="F594" s="11"/>
      <c r="G594" s="11"/>
      <c r="H594" s="11"/>
      <c r="I594" s="11"/>
      <c r="J594" s="11"/>
      <c r="K594" s="11"/>
      <c r="L594" s="15"/>
      <c r="M594" s="15"/>
      <c r="N594" s="15"/>
      <c r="O594" s="15"/>
      <c r="P594" s="15"/>
      <c r="Q594" s="11"/>
      <c r="R594" s="11"/>
      <c r="S594" s="11"/>
      <c r="T594" s="11"/>
      <c r="U594" s="15"/>
      <c r="V594" s="11"/>
      <c r="W594" s="11"/>
      <c r="X594" s="11"/>
      <c r="Y594" s="11"/>
      <c r="Z594" s="11"/>
    </row>
    <row r="595">
      <c r="A595" s="18"/>
      <c r="B595" s="11"/>
      <c r="C595" s="11"/>
      <c r="D595" s="11"/>
      <c r="E595" s="11"/>
      <c r="F595" s="11"/>
      <c r="G595" s="11"/>
      <c r="H595" s="11"/>
      <c r="I595" s="11"/>
      <c r="J595" s="11"/>
      <c r="K595" s="11"/>
      <c r="L595" s="15"/>
      <c r="M595" s="15"/>
      <c r="N595" s="15"/>
      <c r="O595" s="15"/>
      <c r="P595" s="15"/>
      <c r="Q595" s="11"/>
      <c r="R595" s="11"/>
      <c r="S595" s="11"/>
      <c r="T595" s="11"/>
      <c r="U595" s="15"/>
      <c r="V595" s="11"/>
      <c r="W595" s="11"/>
      <c r="X595" s="11"/>
      <c r="Y595" s="11"/>
      <c r="Z595" s="11"/>
    </row>
    <row r="596">
      <c r="A596" s="18"/>
      <c r="B596" s="11"/>
      <c r="C596" s="11"/>
      <c r="D596" s="11"/>
      <c r="E596" s="11"/>
      <c r="F596" s="11"/>
      <c r="G596" s="11"/>
      <c r="H596" s="11"/>
      <c r="I596" s="11"/>
      <c r="J596" s="11"/>
      <c r="K596" s="11"/>
      <c r="L596" s="15"/>
      <c r="M596" s="15"/>
      <c r="N596" s="15"/>
      <c r="O596" s="15"/>
      <c r="P596" s="15"/>
      <c r="Q596" s="11"/>
      <c r="R596" s="11"/>
      <c r="S596" s="11"/>
      <c r="T596" s="11"/>
      <c r="U596" s="15"/>
      <c r="V596" s="11"/>
      <c r="W596" s="11"/>
      <c r="X596" s="11"/>
      <c r="Y596" s="11"/>
      <c r="Z596" s="11"/>
    </row>
    <row r="597">
      <c r="A597" s="18"/>
      <c r="B597" s="11"/>
      <c r="C597" s="11"/>
      <c r="D597" s="11"/>
      <c r="E597" s="11"/>
      <c r="F597" s="11"/>
      <c r="G597" s="11"/>
      <c r="H597" s="11"/>
      <c r="I597" s="11"/>
      <c r="J597" s="11"/>
      <c r="K597" s="11"/>
      <c r="L597" s="15"/>
      <c r="M597" s="15"/>
      <c r="N597" s="15"/>
      <c r="O597" s="15"/>
      <c r="P597" s="15"/>
      <c r="Q597" s="11"/>
      <c r="R597" s="11"/>
      <c r="S597" s="11"/>
      <c r="T597" s="11"/>
      <c r="U597" s="15"/>
      <c r="V597" s="11"/>
      <c r="W597" s="11"/>
      <c r="X597" s="11"/>
      <c r="Y597" s="11"/>
      <c r="Z597" s="11"/>
    </row>
    <row r="598">
      <c r="A598" s="18"/>
      <c r="B598" s="11"/>
      <c r="C598" s="11"/>
      <c r="D598" s="11"/>
      <c r="E598" s="11"/>
      <c r="F598" s="11"/>
      <c r="G598" s="11"/>
      <c r="H598" s="11"/>
      <c r="I598" s="11"/>
      <c r="J598" s="11"/>
      <c r="K598" s="11"/>
      <c r="L598" s="15"/>
      <c r="M598" s="15"/>
      <c r="N598" s="15"/>
      <c r="O598" s="15"/>
      <c r="P598" s="15"/>
      <c r="Q598" s="11"/>
      <c r="R598" s="11"/>
      <c r="S598" s="11"/>
      <c r="T598" s="11"/>
      <c r="U598" s="15"/>
      <c r="V598" s="11"/>
      <c r="W598" s="11"/>
      <c r="X598" s="11"/>
      <c r="Y598" s="11"/>
      <c r="Z598" s="11"/>
    </row>
    <row r="599">
      <c r="A599" s="18"/>
      <c r="B599" s="11"/>
      <c r="C599" s="11"/>
      <c r="D599" s="11"/>
      <c r="E599" s="11"/>
      <c r="F599" s="11"/>
      <c r="G599" s="11"/>
      <c r="H599" s="11"/>
      <c r="I599" s="11"/>
      <c r="J599" s="11"/>
      <c r="K599" s="11"/>
      <c r="L599" s="15"/>
      <c r="M599" s="15"/>
      <c r="N599" s="15"/>
      <c r="O599" s="15"/>
      <c r="P599" s="15"/>
      <c r="Q599" s="11"/>
      <c r="R599" s="11"/>
      <c r="S599" s="11"/>
      <c r="T599" s="11"/>
      <c r="U599" s="15"/>
      <c r="V599" s="11"/>
      <c r="W599" s="11"/>
      <c r="X599" s="11"/>
      <c r="Y599" s="11"/>
      <c r="Z599" s="11"/>
    </row>
    <row r="600">
      <c r="A600" s="18"/>
      <c r="B600" s="11"/>
      <c r="C600" s="11"/>
      <c r="D600" s="11"/>
      <c r="E600" s="11"/>
      <c r="F600" s="11"/>
      <c r="G600" s="11"/>
      <c r="H600" s="11"/>
      <c r="I600" s="11"/>
      <c r="J600" s="11"/>
      <c r="K600" s="11"/>
      <c r="L600" s="15"/>
      <c r="M600" s="15"/>
      <c r="N600" s="15"/>
      <c r="O600" s="15"/>
      <c r="P600" s="15"/>
      <c r="Q600" s="11"/>
      <c r="R600" s="11"/>
      <c r="S600" s="11"/>
      <c r="T600" s="11"/>
      <c r="U600" s="15"/>
      <c r="V600" s="11"/>
      <c r="W600" s="11"/>
      <c r="X600" s="11"/>
      <c r="Y600" s="11"/>
      <c r="Z600" s="11"/>
    </row>
    <row r="601">
      <c r="A601" s="18"/>
      <c r="B601" s="11"/>
      <c r="C601" s="11"/>
      <c r="D601" s="11"/>
      <c r="E601" s="11"/>
      <c r="F601" s="11"/>
      <c r="G601" s="11"/>
      <c r="H601" s="11"/>
      <c r="I601" s="11"/>
      <c r="J601" s="11"/>
      <c r="K601" s="11"/>
      <c r="L601" s="15"/>
      <c r="M601" s="15"/>
      <c r="N601" s="15"/>
      <c r="O601" s="15"/>
      <c r="P601" s="15"/>
      <c r="Q601" s="11"/>
      <c r="R601" s="11"/>
      <c r="S601" s="11"/>
      <c r="T601" s="11"/>
      <c r="U601" s="15"/>
      <c r="V601" s="11"/>
      <c r="W601" s="11"/>
      <c r="X601" s="11"/>
      <c r="Y601" s="11"/>
      <c r="Z601" s="11"/>
    </row>
    <row r="602">
      <c r="A602" s="18"/>
      <c r="B602" s="11"/>
      <c r="C602" s="11"/>
      <c r="D602" s="11"/>
      <c r="E602" s="11"/>
      <c r="F602" s="11"/>
      <c r="G602" s="11"/>
      <c r="H602" s="11"/>
      <c r="I602" s="11"/>
      <c r="J602" s="11"/>
      <c r="K602" s="11"/>
      <c r="L602" s="15"/>
      <c r="M602" s="15"/>
      <c r="N602" s="15"/>
      <c r="O602" s="15"/>
      <c r="P602" s="15"/>
      <c r="Q602" s="11"/>
      <c r="R602" s="11"/>
      <c r="S602" s="11"/>
      <c r="T602" s="11"/>
      <c r="U602" s="15"/>
      <c r="V602" s="11"/>
      <c r="W602" s="11"/>
      <c r="X602" s="11"/>
      <c r="Y602" s="11"/>
      <c r="Z602" s="11"/>
    </row>
    <row r="603">
      <c r="A603" s="18"/>
      <c r="B603" s="11"/>
      <c r="C603" s="11"/>
      <c r="D603" s="11"/>
      <c r="E603" s="11"/>
      <c r="F603" s="11"/>
      <c r="G603" s="11"/>
      <c r="H603" s="11"/>
      <c r="I603" s="11"/>
      <c r="J603" s="11"/>
      <c r="K603" s="11"/>
      <c r="L603" s="15"/>
      <c r="M603" s="15"/>
      <c r="N603" s="15"/>
      <c r="O603" s="15"/>
      <c r="P603" s="15"/>
      <c r="Q603" s="11"/>
      <c r="R603" s="11"/>
      <c r="S603" s="11"/>
      <c r="T603" s="11"/>
      <c r="U603" s="15"/>
      <c r="V603" s="11"/>
      <c r="W603" s="11"/>
      <c r="X603" s="11"/>
      <c r="Y603" s="11"/>
      <c r="Z603" s="11"/>
    </row>
    <row r="604">
      <c r="A604" s="18"/>
      <c r="B604" s="11"/>
      <c r="C604" s="11"/>
      <c r="D604" s="11"/>
      <c r="E604" s="11"/>
      <c r="F604" s="11"/>
      <c r="G604" s="11"/>
      <c r="H604" s="11"/>
      <c r="I604" s="11"/>
      <c r="J604" s="11"/>
      <c r="K604" s="11"/>
      <c r="L604" s="15"/>
      <c r="M604" s="15"/>
      <c r="N604" s="15"/>
      <c r="O604" s="15"/>
      <c r="P604" s="15"/>
      <c r="Q604" s="11"/>
      <c r="R604" s="11"/>
      <c r="S604" s="11"/>
      <c r="T604" s="11"/>
      <c r="U604" s="15"/>
      <c r="V604" s="11"/>
      <c r="W604" s="11"/>
      <c r="X604" s="11"/>
      <c r="Y604" s="11"/>
      <c r="Z604" s="11"/>
    </row>
    <row r="605">
      <c r="A605" s="18"/>
      <c r="B605" s="11"/>
      <c r="C605" s="11"/>
      <c r="D605" s="11"/>
      <c r="E605" s="11"/>
      <c r="F605" s="11"/>
      <c r="G605" s="11"/>
      <c r="H605" s="11"/>
      <c r="I605" s="11"/>
      <c r="J605" s="11"/>
      <c r="K605" s="11"/>
      <c r="L605" s="15"/>
      <c r="M605" s="15"/>
      <c r="N605" s="15"/>
      <c r="O605" s="15"/>
      <c r="P605" s="15"/>
      <c r="Q605" s="11"/>
      <c r="R605" s="11"/>
      <c r="S605" s="11"/>
      <c r="T605" s="11"/>
      <c r="U605" s="15"/>
      <c r="V605" s="11"/>
      <c r="W605" s="11"/>
      <c r="X605" s="11"/>
      <c r="Y605" s="11"/>
      <c r="Z605" s="11"/>
    </row>
    <row r="606">
      <c r="A606" s="18"/>
      <c r="B606" s="11"/>
      <c r="C606" s="11"/>
      <c r="D606" s="11"/>
      <c r="E606" s="11"/>
      <c r="F606" s="11"/>
      <c r="G606" s="11"/>
      <c r="H606" s="11"/>
      <c r="I606" s="11"/>
      <c r="J606" s="11"/>
      <c r="K606" s="11"/>
      <c r="L606" s="15"/>
      <c r="M606" s="15"/>
      <c r="N606" s="15"/>
      <c r="O606" s="15"/>
      <c r="P606" s="15"/>
      <c r="Q606" s="11"/>
      <c r="R606" s="11"/>
      <c r="S606" s="11"/>
      <c r="T606" s="11"/>
      <c r="U606" s="15"/>
      <c r="V606" s="11"/>
      <c r="W606" s="11"/>
      <c r="X606" s="11"/>
      <c r="Y606" s="11"/>
      <c r="Z606" s="11"/>
    </row>
    <row r="607">
      <c r="A607" s="18"/>
      <c r="B607" s="11"/>
      <c r="C607" s="11"/>
      <c r="D607" s="11"/>
      <c r="E607" s="11"/>
      <c r="F607" s="11"/>
      <c r="G607" s="11"/>
      <c r="H607" s="11"/>
      <c r="I607" s="11"/>
      <c r="J607" s="11"/>
      <c r="K607" s="11"/>
      <c r="L607" s="15"/>
      <c r="M607" s="15"/>
      <c r="N607" s="15"/>
      <c r="O607" s="15"/>
      <c r="P607" s="15"/>
      <c r="Q607" s="11"/>
      <c r="R607" s="11"/>
      <c r="S607" s="11"/>
      <c r="T607" s="11"/>
      <c r="U607" s="15"/>
      <c r="V607" s="11"/>
      <c r="W607" s="11"/>
      <c r="X607" s="11"/>
      <c r="Y607" s="11"/>
      <c r="Z607" s="11"/>
    </row>
    <row r="608">
      <c r="A608" s="18"/>
      <c r="B608" s="11"/>
      <c r="C608" s="11"/>
      <c r="D608" s="11"/>
      <c r="E608" s="11"/>
      <c r="F608" s="11"/>
      <c r="G608" s="11"/>
      <c r="H608" s="11"/>
      <c r="I608" s="11"/>
      <c r="J608" s="11"/>
      <c r="K608" s="11"/>
      <c r="L608" s="15"/>
      <c r="M608" s="15"/>
      <c r="N608" s="15"/>
      <c r="O608" s="15"/>
      <c r="P608" s="15"/>
      <c r="Q608" s="11"/>
      <c r="R608" s="11"/>
      <c r="S608" s="11"/>
      <c r="T608" s="11"/>
      <c r="U608" s="15"/>
      <c r="V608" s="11"/>
      <c r="W608" s="11"/>
      <c r="X608" s="11"/>
      <c r="Y608" s="11"/>
      <c r="Z608" s="11"/>
    </row>
    <row r="609">
      <c r="A609" s="18"/>
      <c r="B609" s="11"/>
      <c r="C609" s="11"/>
      <c r="D609" s="11"/>
      <c r="E609" s="11"/>
      <c r="F609" s="11"/>
      <c r="G609" s="11"/>
      <c r="H609" s="11"/>
      <c r="I609" s="11"/>
      <c r="J609" s="11"/>
      <c r="K609" s="11"/>
      <c r="L609" s="15"/>
      <c r="M609" s="15"/>
      <c r="N609" s="15"/>
      <c r="O609" s="15"/>
      <c r="P609" s="15"/>
      <c r="Q609" s="11"/>
      <c r="R609" s="11"/>
      <c r="S609" s="11"/>
      <c r="T609" s="11"/>
      <c r="U609" s="15"/>
      <c r="V609" s="11"/>
      <c r="W609" s="11"/>
      <c r="X609" s="11"/>
      <c r="Y609" s="11"/>
      <c r="Z609" s="11"/>
    </row>
    <row r="610">
      <c r="A610" s="18"/>
      <c r="B610" s="11"/>
      <c r="C610" s="11"/>
      <c r="D610" s="11"/>
      <c r="E610" s="11"/>
      <c r="F610" s="11"/>
      <c r="G610" s="11"/>
      <c r="H610" s="11"/>
      <c r="I610" s="11"/>
      <c r="J610" s="11"/>
      <c r="K610" s="11"/>
      <c r="L610" s="15"/>
      <c r="M610" s="15"/>
      <c r="N610" s="15"/>
      <c r="O610" s="15"/>
      <c r="P610" s="15"/>
      <c r="Q610" s="11"/>
      <c r="R610" s="11"/>
      <c r="S610" s="11"/>
      <c r="T610" s="11"/>
      <c r="U610" s="15"/>
      <c r="V610" s="11"/>
      <c r="W610" s="11"/>
      <c r="X610" s="11"/>
      <c r="Y610" s="11"/>
      <c r="Z610" s="11"/>
    </row>
    <row r="611">
      <c r="A611" s="18"/>
      <c r="B611" s="11"/>
      <c r="C611" s="11"/>
      <c r="D611" s="11"/>
      <c r="E611" s="11"/>
      <c r="F611" s="11"/>
      <c r="G611" s="11"/>
      <c r="H611" s="11"/>
      <c r="I611" s="11"/>
      <c r="J611" s="11"/>
      <c r="K611" s="11"/>
      <c r="L611" s="15"/>
      <c r="M611" s="15"/>
      <c r="N611" s="15"/>
      <c r="O611" s="15"/>
      <c r="P611" s="15"/>
      <c r="Q611" s="11"/>
      <c r="R611" s="11"/>
      <c r="S611" s="11"/>
      <c r="T611" s="11"/>
      <c r="U611" s="15"/>
      <c r="V611" s="11"/>
      <c r="W611" s="11"/>
      <c r="X611" s="11"/>
      <c r="Y611" s="11"/>
      <c r="Z611" s="11"/>
    </row>
    <row r="612">
      <c r="A612" s="18"/>
      <c r="B612" s="11"/>
      <c r="C612" s="11"/>
      <c r="D612" s="11"/>
      <c r="E612" s="11"/>
      <c r="F612" s="11"/>
      <c r="G612" s="11"/>
      <c r="H612" s="11"/>
      <c r="I612" s="11"/>
      <c r="J612" s="11"/>
      <c r="K612" s="11"/>
      <c r="L612" s="15"/>
      <c r="M612" s="15"/>
      <c r="N612" s="15"/>
      <c r="O612" s="15"/>
      <c r="P612" s="15"/>
      <c r="Q612" s="11"/>
      <c r="R612" s="11"/>
      <c r="S612" s="11"/>
      <c r="T612" s="11"/>
      <c r="U612" s="15"/>
      <c r="V612" s="11"/>
      <c r="W612" s="11"/>
      <c r="X612" s="11"/>
      <c r="Y612" s="11"/>
      <c r="Z612" s="11"/>
    </row>
    <row r="613">
      <c r="A613" s="18"/>
      <c r="B613" s="11"/>
      <c r="C613" s="11"/>
      <c r="D613" s="11"/>
      <c r="E613" s="11"/>
      <c r="F613" s="11"/>
      <c r="G613" s="11"/>
      <c r="H613" s="11"/>
      <c r="I613" s="11"/>
      <c r="J613" s="11"/>
      <c r="K613" s="11"/>
      <c r="L613" s="15"/>
      <c r="M613" s="15"/>
      <c r="N613" s="15"/>
      <c r="O613" s="15"/>
      <c r="P613" s="15"/>
      <c r="Q613" s="11"/>
      <c r="R613" s="11"/>
      <c r="S613" s="11"/>
      <c r="T613" s="11"/>
      <c r="U613" s="15"/>
      <c r="V613" s="11"/>
      <c r="W613" s="11"/>
      <c r="X613" s="11"/>
      <c r="Y613" s="11"/>
      <c r="Z613" s="11"/>
    </row>
    <row r="614">
      <c r="A614" s="18"/>
      <c r="B614" s="11"/>
      <c r="C614" s="11"/>
      <c r="D614" s="11"/>
      <c r="E614" s="11"/>
      <c r="F614" s="11"/>
      <c r="G614" s="11"/>
      <c r="H614" s="11"/>
      <c r="I614" s="11"/>
      <c r="J614" s="11"/>
      <c r="K614" s="11"/>
      <c r="L614" s="15"/>
      <c r="M614" s="15"/>
      <c r="N614" s="15"/>
      <c r="O614" s="15"/>
      <c r="P614" s="15"/>
      <c r="Q614" s="11"/>
      <c r="R614" s="11"/>
      <c r="S614" s="11"/>
      <c r="T614" s="11"/>
      <c r="U614" s="15"/>
      <c r="V614" s="11"/>
      <c r="W614" s="11"/>
      <c r="X614" s="11"/>
      <c r="Y614" s="11"/>
      <c r="Z614" s="11"/>
    </row>
    <row r="615">
      <c r="A615" s="18"/>
      <c r="B615" s="11"/>
      <c r="C615" s="11"/>
      <c r="D615" s="11"/>
      <c r="E615" s="11"/>
      <c r="F615" s="11"/>
      <c r="G615" s="11"/>
      <c r="H615" s="11"/>
      <c r="I615" s="11"/>
      <c r="J615" s="11"/>
      <c r="K615" s="11"/>
      <c r="L615" s="15"/>
      <c r="M615" s="15"/>
      <c r="N615" s="15"/>
      <c r="O615" s="15"/>
      <c r="P615" s="15"/>
      <c r="Q615" s="11"/>
      <c r="R615" s="11"/>
      <c r="S615" s="11"/>
      <c r="T615" s="11"/>
      <c r="U615" s="15"/>
      <c r="V615" s="11"/>
      <c r="W615" s="11"/>
      <c r="X615" s="11"/>
      <c r="Y615" s="11"/>
      <c r="Z615" s="11"/>
    </row>
    <row r="616">
      <c r="A616" s="18"/>
      <c r="B616" s="11"/>
      <c r="C616" s="11"/>
      <c r="D616" s="11"/>
      <c r="E616" s="11"/>
      <c r="F616" s="11"/>
      <c r="G616" s="11"/>
      <c r="H616" s="11"/>
      <c r="I616" s="11"/>
      <c r="J616" s="11"/>
      <c r="K616" s="11"/>
      <c r="L616" s="15"/>
      <c r="M616" s="15"/>
      <c r="N616" s="15"/>
      <c r="O616" s="15"/>
      <c r="P616" s="15"/>
      <c r="Q616" s="11"/>
      <c r="R616" s="11"/>
      <c r="S616" s="11"/>
      <c r="T616" s="11"/>
      <c r="U616" s="15"/>
      <c r="V616" s="11"/>
      <c r="W616" s="11"/>
      <c r="X616" s="11"/>
      <c r="Y616" s="11"/>
      <c r="Z616" s="11"/>
    </row>
    <row r="617">
      <c r="A617" s="18"/>
      <c r="B617" s="11"/>
      <c r="C617" s="11"/>
      <c r="D617" s="11"/>
      <c r="E617" s="11"/>
      <c r="F617" s="11"/>
      <c r="G617" s="11"/>
      <c r="H617" s="11"/>
      <c r="I617" s="11"/>
      <c r="J617" s="11"/>
      <c r="K617" s="11"/>
      <c r="L617" s="15"/>
      <c r="M617" s="15"/>
      <c r="N617" s="15"/>
      <c r="O617" s="15"/>
      <c r="P617" s="15"/>
      <c r="Q617" s="11"/>
      <c r="R617" s="11"/>
      <c r="S617" s="11"/>
      <c r="T617" s="11"/>
      <c r="U617" s="15"/>
      <c r="V617" s="11"/>
      <c r="W617" s="11"/>
      <c r="X617" s="11"/>
      <c r="Y617" s="11"/>
      <c r="Z617" s="11"/>
    </row>
    <row r="618">
      <c r="A618" s="18"/>
      <c r="B618" s="11"/>
      <c r="C618" s="11"/>
      <c r="D618" s="11"/>
      <c r="E618" s="11"/>
      <c r="F618" s="11"/>
      <c r="G618" s="11"/>
      <c r="H618" s="11"/>
      <c r="I618" s="11"/>
      <c r="J618" s="11"/>
      <c r="K618" s="11"/>
      <c r="L618" s="15"/>
      <c r="M618" s="15"/>
      <c r="N618" s="15"/>
      <c r="O618" s="15"/>
      <c r="P618" s="15"/>
      <c r="Q618" s="11"/>
      <c r="R618" s="11"/>
      <c r="S618" s="11"/>
      <c r="T618" s="11"/>
      <c r="U618" s="15"/>
      <c r="V618" s="11"/>
      <c r="W618" s="11"/>
      <c r="X618" s="11"/>
      <c r="Y618" s="11"/>
      <c r="Z618" s="11"/>
    </row>
    <row r="619">
      <c r="A619" s="18"/>
      <c r="B619" s="11"/>
      <c r="C619" s="11"/>
      <c r="D619" s="11"/>
      <c r="E619" s="11"/>
      <c r="F619" s="11"/>
      <c r="G619" s="11"/>
      <c r="H619" s="11"/>
      <c r="I619" s="11"/>
      <c r="J619" s="11"/>
      <c r="K619" s="11"/>
      <c r="L619" s="15"/>
      <c r="M619" s="15"/>
      <c r="N619" s="15"/>
      <c r="O619" s="15"/>
      <c r="P619" s="15"/>
      <c r="Q619" s="11"/>
      <c r="R619" s="11"/>
      <c r="S619" s="11"/>
      <c r="T619" s="11"/>
      <c r="U619" s="15"/>
      <c r="V619" s="11"/>
      <c r="W619" s="11"/>
      <c r="X619" s="11"/>
      <c r="Y619" s="11"/>
      <c r="Z619" s="11"/>
    </row>
    <row r="620">
      <c r="A620" s="18"/>
      <c r="B620" s="11"/>
      <c r="C620" s="11"/>
      <c r="D620" s="11"/>
      <c r="E620" s="11"/>
      <c r="F620" s="11"/>
      <c r="G620" s="11"/>
      <c r="H620" s="11"/>
      <c r="I620" s="11"/>
      <c r="J620" s="11"/>
      <c r="K620" s="11"/>
      <c r="L620" s="15"/>
      <c r="M620" s="15"/>
      <c r="N620" s="15"/>
      <c r="O620" s="15"/>
      <c r="P620" s="15"/>
      <c r="Q620" s="11"/>
      <c r="R620" s="11"/>
      <c r="S620" s="11"/>
      <c r="T620" s="11"/>
      <c r="U620" s="15"/>
      <c r="V620" s="11"/>
      <c r="W620" s="11"/>
      <c r="X620" s="11"/>
      <c r="Y620" s="11"/>
      <c r="Z620" s="11"/>
    </row>
    <row r="621">
      <c r="A621" s="18"/>
      <c r="B621" s="11"/>
      <c r="C621" s="11"/>
      <c r="D621" s="11"/>
      <c r="E621" s="11"/>
      <c r="F621" s="11"/>
      <c r="G621" s="11"/>
      <c r="H621" s="11"/>
      <c r="I621" s="11"/>
      <c r="J621" s="11"/>
      <c r="K621" s="11"/>
      <c r="L621" s="15"/>
      <c r="M621" s="15"/>
      <c r="N621" s="15"/>
      <c r="O621" s="15"/>
      <c r="P621" s="15"/>
      <c r="Q621" s="11"/>
      <c r="R621" s="11"/>
      <c r="S621" s="11"/>
      <c r="T621" s="11"/>
      <c r="U621" s="15"/>
      <c r="V621" s="11"/>
      <c r="W621" s="11"/>
      <c r="X621" s="11"/>
      <c r="Y621" s="11"/>
      <c r="Z621" s="11"/>
    </row>
    <row r="622">
      <c r="A622" s="18"/>
      <c r="B622" s="11"/>
      <c r="C622" s="11"/>
      <c r="D622" s="11"/>
      <c r="E622" s="11"/>
      <c r="F622" s="11"/>
      <c r="G622" s="11"/>
      <c r="H622" s="11"/>
      <c r="I622" s="11"/>
      <c r="J622" s="11"/>
      <c r="K622" s="11"/>
      <c r="L622" s="15"/>
      <c r="M622" s="15"/>
      <c r="N622" s="15"/>
      <c r="O622" s="15"/>
      <c r="P622" s="15"/>
      <c r="Q622" s="11"/>
      <c r="R622" s="11"/>
      <c r="S622" s="11"/>
      <c r="T622" s="11"/>
      <c r="U622" s="15"/>
      <c r="V622" s="11"/>
      <c r="W622" s="11"/>
      <c r="X622" s="11"/>
      <c r="Y622" s="11"/>
      <c r="Z622" s="11"/>
    </row>
    <row r="623">
      <c r="A623" s="18"/>
      <c r="B623" s="11"/>
      <c r="C623" s="11"/>
      <c r="D623" s="11"/>
      <c r="E623" s="11"/>
      <c r="F623" s="11"/>
      <c r="G623" s="11"/>
      <c r="H623" s="11"/>
      <c r="I623" s="11"/>
      <c r="J623" s="11"/>
      <c r="K623" s="11"/>
      <c r="L623" s="15"/>
      <c r="M623" s="15"/>
      <c r="N623" s="15"/>
      <c r="O623" s="15"/>
      <c r="P623" s="15"/>
      <c r="Q623" s="11"/>
      <c r="R623" s="11"/>
      <c r="S623" s="11"/>
      <c r="T623" s="11"/>
      <c r="U623" s="15"/>
      <c r="V623" s="11"/>
      <c r="W623" s="11"/>
      <c r="X623" s="11"/>
      <c r="Y623" s="11"/>
      <c r="Z623" s="11"/>
    </row>
    <row r="624">
      <c r="A624" s="18"/>
      <c r="B624" s="11"/>
      <c r="C624" s="11"/>
      <c r="D624" s="11"/>
      <c r="E624" s="11"/>
      <c r="F624" s="11"/>
      <c r="G624" s="11"/>
      <c r="H624" s="11"/>
      <c r="I624" s="11"/>
      <c r="J624" s="11"/>
      <c r="K624" s="11"/>
      <c r="L624" s="15"/>
      <c r="M624" s="15"/>
      <c r="N624" s="15"/>
      <c r="O624" s="15"/>
      <c r="P624" s="15"/>
      <c r="Q624" s="11"/>
      <c r="R624" s="11"/>
      <c r="S624" s="11"/>
      <c r="T624" s="11"/>
      <c r="U624" s="15"/>
      <c r="V624" s="11"/>
      <c r="W624" s="11"/>
      <c r="X624" s="11"/>
      <c r="Y624" s="11"/>
      <c r="Z624" s="11"/>
    </row>
    <row r="625">
      <c r="A625" s="18"/>
      <c r="B625" s="11"/>
      <c r="C625" s="11"/>
      <c r="D625" s="11"/>
      <c r="E625" s="11"/>
      <c r="F625" s="11"/>
      <c r="G625" s="11"/>
      <c r="H625" s="11"/>
      <c r="I625" s="11"/>
      <c r="J625" s="11"/>
      <c r="K625" s="11"/>
      <c r="L625" s="15"/>
      <c r="M625" s="15"/>
      <c r="N625" s="15"/>
      <c r="O625" s="15"/>
      <c r="P625" s="15"/>
      <c r="Q625" s="11"/>
      <c r="R625" s="11"/>
      <c r="S625" s="11"/>
      <c r="T625" s="11"/>
      <c r="U625" s="15"/>
      <c r="V625" s="11"/>
      <c r="W625" s="11"/>
      <c r="X625" s="11"/>
      <c r="Y625" s="11"/>
      <c r="Z625" s="11"/>
    </row>
    <row r="626">
      <c r="A626" s="18"/>
      <c r="B626" s="11"/>
      <c r="C626" s="11"/>
      <c r="D626" s="11"/>
      <c r="E626" s="11"/>
      <c r="F626" s="11"/>
      <c r="G626" s="11"/>
      <c r="H626" s="11"/>
      <c r="I626" s="11"/>
      <c r="J626" s="11"/>
      <c r="K626" s="11"/>
      <c r="L626" s="15"/>
      <c r="M626" s="15"/>
      <c r="N626" s="15"/>
      <c r="O626" s="15"/>
      <c r="P626" s="15"/>
      <c r="Q626" s="11"/>
      <c r="R626" s="11"/>
      <c r="S626" s="11"/>
      <c r="T626" s="11"/>
      <c r="U626" s="15"/>
      <c r="V626" s="11"/>
      <c r="W626" s="11"/>
      <c r="X626" s="11"/>
      <c r="Y626" s="11"/>
      <c r="Z626" s="11"/>
    </row>
    <row r="627">
      <c r="A627" s="18"/>
      <c r="B627" s="11"/>
      <c r="C627" s="11"/>
      <c r="D627" s="11"/>
      <c r="E627" s="11"/>
      <c r="F627" s="11"/>
      <c r="G627" s="11"/>
      <c r="H627" s="11"/>
      <c r="I627" s="11"/>
      <c r="J627" s="11"/>
      <c r="K627" s="11"/>
      <c r="L627" s="15"/>
      <c r="M627" s="15"/>
      <c r="N627" s="15"/>
      <c r="O627" s="15"/>
      <c r="P627" s="15"/>
      <c r="Q627" s="11"/>
      <c r="R627" s="11"/>
      <c r="S627" s="11"/>
      <c r="T627" s="11"/>
      <c r="U627" s="15"/>
      <c r="V627" s="11"/>
      <c r="W627" s="11"/>
      <c r="X627" s="11"/>
      <c r="Y627" s="11"/>
      <c r="Z627" s="11"/>
    </row>
    <row r="628">
      <c r="A628" s="18"/>
      <c r="B628" s="11"/>
      <c r="C628" s="11"/>
      <c r="D628" s="11"/>
      <c r="E628" s="11"/>
      <c r="F628" s="11"/>
      <c r="G628" s="11"/>
      <c r="H628" s="11"/>
      <c r="I628" s="11"/>
      <c r="J628" s="11"/>
      <c r="K628" s="11"/>
      <c r="L628" s="15"/>
      <c r="M628" s="15"/>
      <c r="N628" s="15"/>
      <c r="O628" s="15"/>
      <c r="P628" s="15"/>
      <c r="Q628" s="11"/>
      <c r="R628" s="11"/>
      <c r="S628" s="11"/>
      <c r="T628" s="11"/>
      <c r="U628" s="15"/>
      <c r="V628" s="11"/>
      <c r="W628" s="11"/>
      <c r="X628" s="11"/>
      <c r="Y628" s="11"/>
      <c r="Z628" s="11"/>
    </row>
    <row r="629">
      <c r="A629" s="18"/>
      <c r="B629" s="11"/>
      <c r="C629" s="11"/>
      <c r="D629" s="11"/>
      <c r="E629" s="11"/>
      <c r="F629" s="11"/>
      <c r="G629" s="11"/>
      <c r="H629" s="11"/>
      <c r="I629" s="11"/>
      <c r="J629" s="11"/>
      <c r="K629" s="11"/>
      <c r="L629" s="15"/>
      <c r="M629" s="15"/>
      <c r="N629" s="15"/>
      <c r="O629" s="15"/>
      <c r="P629" s="15"/>
      <c r="Q629" s="11"/>
      <c r="R629" s="11"/>
      <c r="S629" s="11"/>
      <c r="T629" s="11"/>
      <c r="U629" s="15"/>
      <c r="V629" s="11"/>
      <c r="W629" s="11"/>
      <c r="X629" s="11"/>
      <c r="Y629" s="11"/>
      <c r="Z629" s="11"/>
    </row>
    <row r="630">
      <c r="A630" s="18"/>
      <c r="B630" s="11"/>
      <c r="C630" s="11"/>
      <c r="D630" s="11"/>
      <c r="E630" s="11"/>
      <c r="F630" s="11"/>
      <c r="G630" s="11"/>
      <c r="H630" s="11"/>
      <c r="I630" s="11"/>
      <c r="J630" s="11"/>
      <c r="K630" s="11"/>
      <c r="L630" s="15"/>
      <c r="M630" s="15"/>
      <c r="N630" s="15"/>
      <c r="O630" s="15"/>
      <c r="P630" s="15"/>
      <c r="Q630" s="11"/>
      <c r="R630" s="11"/>
      <c r="S630" s="11"/>
      <c r="T630" s="11"/>
      <c r="U630" s="15"/>
      <c r="V630" s="11"/>
      <c r="W630" s="11"/>
      <c r="X630" s="11"/>
      <c r="Y630" s="11"/>
      <c r="Z630" s="11"/>
    </row>
    <row r="631">
      <c r="A631" s="18"/>
      <c r="B631" s="11"/>
      <c r="C631" s="11"/>
      <c r="D631" s="11"/>
      <c r="E631" s="11"/>
      <c r="F631" s="11"/>
      <c r="G631" s="11"/>
      <c r="H631" s="11"/>
      <c r="I631" s="11"/>
      <c r="J631" s="11"/>
      <c r="K631" s="11"/>
      <c r="L631" s="15"/>
      <c r="M631" s="15"/>
      <c r="N631" s="15"/>
      <c r="O631" s="15"/>
      <c r="P631" s="15"/>
      <c r="Q631" s="11"/>
      <c r="R631" s="11"/>
      <c r="S631" s="11"/>
      <c r="T631" s="11"/>
      <c r="U631" s="15"/>
      <c r="V631" s="11"/>
      <c r="W631" s="11"/>
      <c r="X631" s="11"/>
      <c r="Y631" s="11"/>
      <c r="Z631" s="11"/>
    </row>
    <row r="632">
      <c r="A632" s="18"/>
      <c r="B632" s="11"/>
      <c r="C632" s="11"/>
      <c r="D632" s="11"/>
      <c r="E632" s="11"/>
      <c r="F632" s="11"/>
      <c r="G632" s="11"/>
      <c r="H632" s="11"/>
      <c r="I632" s="11"/>
      <c r="J632" s="11"/>
      <c r="K632" s="11"/>
      <c r="L632" s="15"/>
      <c r="M632" s="15"/>
      <c r="N632" s="15"/>
      <c r="O632" s="15"/>
      <c r="P632" s="15"/>
      <c r="Q632" s="11"/>
      <c r="R632" s="11"/>
      <c r="S632" s="11"/>
      <c r="T632" s="11"/>
      <c r="U632" s="15"/>
      <c r="V632" s="11"/>
      <c r="W632" s="11"/>
      <c r="X632" s="11"/>
      <c r="Y632" s="11"/>
      <c r="Z632" s="11"/>
    </row>
    <row r="633">
      <c r="A633" s="18"/>
      <c r="B633" s="11"/>
      <c r="C633" s="11"/>
      <c r="D633" s="11"/>
      <c r="E633" s="11"/>
      <c r="F633" s="11"/>
      <c r="G633" s="11"/>
      <c r="H633" s="11"/>
      <c r="I633" s="11"/>
      <c r="J633" s="11"/>
      <c r="K633" s="11"/>
      <c r="L633" s="15"/>
      <c r="M633" s="15"/>
      <c r="N633" s="15"/>
      <c r="O633" s="15"/>
      <c r="P633" s="15"/>
      <c r="Q633" s="11"/>
      <c r="R633" s="11"/>
      <c r="S633" s="11"/>
      <c r="T633" s="11"/>
      <c r="U633" s="15"/>
      <c r="V633" s="11"/>
      <c r="W633" s="11"/>
      <c r="X633" s="11"/>
      <c r="Y633" s="11"/>
      <c r="Z633" s="11"/>
    </row>
    <row r="634">
      <c r="A634" s="18"/>
      <c r="B634" s="11"/>
      <c r="C634" s="11"/>
      <c r="D634" s="11"/>
      <c r="E634" s="11"/>
      <c r="F634" s="11"/>
      <c r="G634" s="11"/>
      <c r="H634" s="11"/>
      <c r="I634" s="11"/>
      <c r="J634" s="11"/>
      <c r="K634" s="11"/>
      <c r="L634" s="15"/>
      <c r="M634" s="15"/>
      <c r="N634" s="15"/>
      <c r="O634" s="15"/>
      <c r="P634" s="15"/>
      <c r="Q634" s="11"/>
      <c r="R634" s="11"/>
      <c r="S634" s="11"/>
      <c r="T634" s="11"/>
      <c r="U634" s="15"/>
      <c r="V634" s="11"/>
      <c r="W634" s="11"/>
      <c r="X634" s="11"/>
      <c r="Y634" s="11"/>
      <c r="Z634" s="11"/>
    </row>
    <row r="635">
      <c r="A635" s="18"/>
      <c r="B635" s="11"/>
      <c r="C635" s="11"/>
      <c r="D635" s="11"/>
      <c r="E635" s="11"/>
      <c r="F635" s="11"/>
      <c r="G635" s="11"/>
      <c r="H635" s="11"/>
      <c r="I635" s="11"/>
      <c r="J635" s="11"/>
      <c r="K635" s="11"/>
      <c r="L635" s="15"/>
      <c r="M635" s="15"/>
      <c r="N635" s="15"/>
      <c r="O635" s="15"/>
      <c r="P635" s="15"/>
      <c r="Q635" s="11"/>
      <c r="R635" s="11"/>
      <c r="S635" s="11"/>
      <c r="T635" s="11"/>
      <c r="U635" s="15"/>
      <c r="V635" s="11"/>
      <c r="W635" s="11"/>
      <c r="X635" s="11"/>
      <c r="Y635" s="11"/>
      <c r="Z635" s="11"/>
    </row>
    <row r="636">
      <c r="A636" s="18"/>
      <c r="B636" s="11"/>
      <c r="C636" s="11"/>
      <c r="D636" s="11"/>
      <c r="E636" s="11"/>
      <c r="F636" s="11"/>
      <c r="G636" s="11"/>
      <c r="H636" s="11"/>
      <c r="I636" s="11"/>
      <c r="J636" s="11"/>
      <c r="K636" s="11"/>
      <c r="L636" s="15"/>
      <c r="M636" s="15"/>
      <c r="N636" s="15"/>
      <c r="O636" s="15"/>
      <c r="P636" s="15"/>
      <c r="Q636" s="11"/>
      <c r="R636" s="11"/>
      <c r="S636" s="11"/>
      <c r="T636" s="11"/>
      <c r="U636" s="15"/>
      <c r="V636" s="11"/>
      <c r="W636" s="11"/>
      <c r="X636" s="11"/>
      <c r="Y636" s="11"/>
      <c r="Z636" s="11"/>
    </row>
    <row r="637">
      <c r="A637" s="18"/>
      <c r="B637" s="11"/>
      <c r="C637" s="11"/>
      <c r="D637" s="11"/>
      <c r="E637" s="11"/>
      <c r="F637" s="11"/>
      <c r="G637" s="11"/>
      <c r="H637" s="11"/>
      <c r="I637" s="11"/>
      <c r="J637" s="11"/>
      <c r="K637" s="11"/>
      <c r="L637" s="15"/>
      <c r="M637" s="15"/>
      <c r="N637" s="15"/>
      <c r="O637" s="15"/>
      <c r="P637" s="15"/>
      <c r="Q637" s="11"/>
      <c r="R637" s="11"/>
      <c r="S637" s="11"/>
      <c r="T637" s="11"/>
      <c r="U637" s="15"/>
      <c r="V637" s="11"/>
      <c r="W637" s="11"/>
      <c r="X637" s="11"/>
      <c r="Y637" s="11"/>
      <c r="Z637" s="11"/>
    </row>
    <row r="638">
      <c r="A638" s="18"/>
      <c r="B638" s="11"/>
      <c r="C638" s="11"/>
      <c r="D638" s="11"/>
      <c r="E638" s="11"/>
      <c r="F638" s="11"/>
      <c r="G638" s="11"/>
      <c r="H638" s="11"/>
      <c r="I638" s="11"/>
      <c r="J638" s="11"/>
      <c r="K638" s="11"/>
      <c r="L638" s="15"/>
      <c r="M638" s="15"/>
      <c r="N638" s="15"/>
      <c r="O638" s="15"/>
      <c r="P638" s="15"/>
      <c r="Q638" s="11"/>
      <c r="R638" s="11"/>
      <c r="S638" s="11"/>
      <c r="T638" s="11"/>
      <c r="U638" s="15"/>
      <c r="V638" s="11"/>
      <c r="W638" s="11"/>
      <c r="X638" s="11"/>
      <c r="Y638" s="11"/>
      <c r="Z638" s="11"/>
    </row>
    <row r="639">
      <c r="A639" s="18"/>
      <c r="B639" s="11"/>
      <c r="C639" s="11"/>
      <c r="D639" s="11"/>
      <c r="E639" s="11"/>
      <c r="F639" s="11"/>
      <c r="G639" s="11"/>
      <c r="H639" s="11"/>
      <c r="I639" s="11"/>
      <c r="J639" s="11"/>
      <c r="K639" s="11"/>
      <c r="L639" s="15"/>
      <c r="M639" s="15"/>
      <c r="N639" s="15"/>
      <c r="O639" s="15"/>
      <c r="P639" s="15"/>
      <c r="Q639" s="11"/>
      <c r="R639" s="11"/>
      <c r="S639" s="11"/>
      <c r="T639" s="11"/>
      <c r="U639" s="15"/>
      <c r="V639" s="11"/>
      <c r="W639" s="11"/>
      <c r="X639" s="11"/>
      <c r="Y639" s="11"/>
      <c r="Z639" s="11"/>
    </row>
    <row r="640">
      <c r="A640" s="18"/>
      <c r="B640" s="11"/>
      <c r="C640" s="11"/>
      <c r="D640" s="11"/>
      <c r="E640" s="11"/>
      <c r="F640" s="11"/>
      <c r="G640" s="11"/>
      <c r="H640" s="11"/>
      <c r="I640" s="11"/>
      <c r="J640" s="11"/>
      <c r="K640" s="11"/>
      <c r="L640" s="15"/>
      <c r="M640" s="15"/>
      <c r="N640" s="15"/>
      <c r="O640" s="15"/>
      <c r="P640" s="15"/>
      <c r="Q640" s="11"/>
      <c r="R640" s="11"/>
      <c r="S640" s="11"/>
      <c r="T640" s="11"/>
      <c r="U640" s="15"/>
      <c r="V640" s="11"/>
      <c r="W640" s="11"/>
      <c r="X640" s="11"/>
      <c r="Y640" s="11"/>
      <c r="Z640" s="11"/>
    </row>
    <row r="641">
      <c r="A641" s="18"/>
      <c r="B641" s="11"/>
      <c r="C641" s="11"/>
      <c r="D641" s="11"/>
      <c r="E641" s="11"/>
      <c r="F641" s="11"/>
      <c r="G641" s="11"/>
      <c r="H641" s="11"/>
      <c r="I641" s="11"/>
      <c r="J641" s="11"/>
      <c r="K641" s="11"/>
      <c r="L641" s="15"/>
      <c r="M641" s="15"/>
      <c r="N641" s="15"/>
      <c r="O641" s="15"/>
      <c r="P641" s="15"/>
      <c r="Q641" s="11"/>
      <c r="R641" s="11"/>
      <c r="S641" s="11"/>
      <c r="T641" s="11"/>
      <c r="U641" s="15"/>
      <c r="V641" s="11"/>
      <c r="W641" s="11"/>
      <c r="X641" s="11"/>
      <c r="Y641" s="11"/>
      <c r="Z641" s="11"/>
    </row>
    <row r="642">
      <c r="A642" s="18"/>
      <c r="B642" s="11"/>
      <c r="C642" s="11"/>
      <c r="D642" s="11"/>
      <c r="E642" s="11"/>
      <c r="F642" s="11"/>
      <c r="G642" s="11"/>
      <c r="H642" s="11"/>
      <c r="I642" s="11"/>
      <c r="J642" s="11"/>
      <c r="K642" s="11"/>
      <c r="L642" s="15"/>
      <c r="M642" s="15"/>
      <c r="N642" s="15"/>
      <c r="O642" s="15"/>
      <c r="P642" s="15"/>
      <c r="Q642" s="11"/>
      <c r="R642" s="11"/>
      <c r="S642" s="11"/>
      <c r="T642" s="11"/>
      <c r="U642" s="15"/>
      <c r="V642" s="11"/>
      <c r="W642" s="11"/>
      <c r="X642" s="11"/>
      <c r="Y642" s="11"/>
      <c r="Z642" s="11"/>
    </row>
    <row r="643">
      <c r="A643" s="18"/>
      <c r="B643" s="11"/>
      <c r="C643" s="11"/>
      <c r="D643" s="11"/>
      <c r="E643" s="11"/>
      <c r="F643" s="11"/>
      <c r="G643" s="11"/>
      <c r="H643" s="11"/>
      <c r="I643" s="11"/>
      <c r="J643" s="11"/>
      <c r="K643" s="11"/>
      <c r="L643" s="15"/>
      <c r="M643" s="15"/>
      <c r="N643" s="15"/>
      <c r="O643" s="15"/>
      <c r="P643" s="15"/>
      <c r="Q643" s="11"/>
      <c r="R643" s="11"/>
      <c r="S643" s="11"/>
      <c r="T643" s="11"/>
      <c r="U643" s="15"/>
      <c r="V643" s="11"/>
      <c r="W643" s="11"/>
      <c r="X643" s="11"/>
      <c r="Y643" s="11"/>
      <c r="Z643" s="11"/>
    </row>
    <row r="644">
      <c r="A644" s="18"/>
      <c r="B644" s="11"/>
      <c r="C644" s="11"/>
      <c r="D644" s="11"/>
      <c r="E644" s="11"/>
      <c r="F644" s="11"/>
      <c r="G644" s="11"/>
      <c r="H644" s="11"/>
      <c r="I644" s="11"/>
      <c r="J644" s="11"/>
      <c r="K644" s="11"/>
      <c r="L644" s="15"/>
      <c r="M644" s="15"/>
      <c r="N644" s="15"/>
      <c r="O644" s="15"/>
      <c r="P644" s="15"/>
      <c r="Q644" s="11"/>
      <c r="R644" s="11"/>
      <c r="S644" s="11"/>
      <c r="T644" s="11"/>
      <c r="U644" s="15"/>
      <c r="V644" s="11"/>
      <c r="W644" s="11"/>
      <c r="X644" s="11"/>
      <c r="Y644" s="11"/>
      <c r="Z644" s="11"/>
    </row>
    <row r="645">
      <c r="A645" s="18"/>
      <c r="B645" s="11"/>
      <c r="C645" s="11"/>
      <c r="D645" s="11"/>
      <c r="E645" s="11"/>
      <c r="F645" s="11"/>
      <c r="G645" s="11"/>
      <c r="H645" s="11"/>
      <c r="I645" s="11"/>
      <c r="J645" s="11"/>
      <c r="K645" s="11"/>
      <c r="L645" s="15"/>
      <c r="M645" s="15"/>
      <c r="N645" s="15"/>
      <c r="O645" s="15"/>
      <c r="P645" s="15"/>
      <c r="Q645" s="11"/>
      <c r="R645" s="11"/>
      <c r="S645" s="11"/>
      <c r="T645" s="11"/>
      <c r="U645" s="15"/>
      <c r="V645" s="11"/>
      <c r="W645" s="11"/>
      <c r="X645" s="11"/>
      <c r="Y645" s="11"/>
      <c r="Z645" s="11"/>
    </row>
    <row r="646">
      <c r="A646" s="18"/>
      <c r="B646" s="11"/>
      <c r="C646" s="11"/>
      <c r="D646" s="11"/>
      <c r="E646" s="11"/>
      <c r="F646" s="11"/>
      <c r="G646" s="11"/>
      <c r="H646" s="11"/>
      <c r="I646" s="11"/>
      <c r="J646" s="11"/>
      <c r="K646" s="11"/>
      <c r="L646" s="15"/>
      <c r="M646" s="15"/>
      <c r="N646" s="15"/>
      <c r="O646" s="15"/>
      <c r="P646" s="15"/>
      <c r="Q646" s="11"/>
      <c r="R646" s="11"/>
      <c r="S646" s="11"/>
      <c r="T646" s="11"/>
      <c r="U646" s="15"/>
      <c r="V646" s="11"/>
      <c r="W646" s="11"/>
      <c r="X646" s="11"/>
      <c r="Y646" s="11"/>
      <c r="Z646" s="11"/>
    </row>
    <row r="647">
      <c r="A647" s="18"/>
      <c r="B647" s="11"/>
      <c r="C647" s="11"/>
      <c r="D647" s="11"/>
      <c r="E647" s="11"/>
      <c r="F647" s="11"/>
      <c r="G647" s="11"/>
      <c r="H647" s="11"/>
      <c r="I647" s="11"/>
      <c r="J647" s="11"/>
      <c r="K647" s="11"/>
      <c r="L647" s="15"/>
      <c r="M647" s="15"/>
      <c r="N647" s="15"/>
      <c r="O647" s="15"/>
      <c r="P647" s="15"/>
      <c r="Q647" s="11"/>
      <c r="R647" s="11"/>
      <c r="S647" s="11"/>
      <c r="T647" s="11"/>
      <c r="U647" s="15"/>
      <c r="V647" s="11"/>
      <c r="W647" s="11"/>
      <c r="X647" s="11"/>
      <c r="Y647" s="11"/>
      <c r="Z647" s="11"/>
    </row>
    <row r="648">
      <c r="A648" s="18"/>
      <c r="B648" s="11"/>
      <c r="C648" s="11"/>
      <c r="D648" s="11"/>
      <c r="E648" s="11"/>
      <c r="F648" s="11"/>
      <c r="G648" s="11"/>
      <c r="H648" s="11"/>
      <c r="I648" s="11"/>
      <c r="J648" s="11"/>
      <c r="K648" s="11"/>
      <c r="L648" s="15"/>
      <c r="M648" s="15"/>
      <c r="N648" s="15"/>
      <c r="O648" s="15"/>
      <c r="P648" s="15"/>
      <c r="Q648" s="11"/>
      <c r="R648" s="11"/>
      <c r="S648" s="11"/>
      <c r="T648" s="11"/>
      <c r="U648" s="15"/>
      <c r="V648" s="11"/>
      <c r="W648" s="11"/>
      <c r="X648" s="11"/>
      <c r="Y648" s="11"/>
      <c r="Z648" s="11"/>
    </row>
    <row r="649">
      <c r="A649" s="18"/>
      <c r="B649" s="11"/>
      <c r="C649" s="11"/>
      <c r="D649" s="11"/>
      <c r="E649" s="11"/>
      <c r="F649" s="11"/>
      <c r="G649" s="11"/>
      <c r="H649" s="11"/>
      <c r="I649" s="11"/>
      <c r="J649" s="11"/>
      <c r="K649" s="11"/>
      <c r="L649" s="15"/>
      <c r="M649" s="15"/>
      <c r="N649" s="15"/>
      <c r="O649" s="15"/>
      <c r="P649" s="15"/>
      <c r="Q649" s="11"/>
      <c r="R649" s="11"/>
      <c r="S649" s="11"/>
      <c r="T649" s="11"/>
      <c r="U649" s="15"/>
      <c r="V649" s="11"/>
      <c r="W649" s="11"/>
      <c r="X649" s="11"/>
      <c r="Y649" s="11"/>
      <c r="Z649" s="11"/>
    </row>
    <row r="650">
      <c r="A650" s="18"/>
      <c r="B650" s="11"/>
      <c r="C650" s="11"/>
      <c r="D650" s="11"/>
      <c r="E650" s="11"/>
      <c r="F650" s="11"/>
      <c r="G650" s="11"/>
      <c r="H650" s="11"/>
      <c r="I650" s="11"/>
      <c r="J650" s="11"/>
      <c r="K650" s="11"/>
      <c r="L650" s="15"/>
      <c r="M650" s="15"/>
      <c r="N650" s="15"/>
      <c r="O650" s="15"/>
      <c r="P650" s="15"/>
      <c r="Q650" s="11"/>
      <c r="R650" s="11"/>
      <c r="S650" s="11"/>
      <c r="T650" s="11"/>
      <c r="U650" s="15"/>
      <c r="V650" s="11"/>
      <c r="W650" s="11"/>
      <c r="X650" s="11"/>
      <c r="Y650" s="11"/>
      <c r="Z650" s="11"/>
    </row>
    <row r="651">
      <c r="A651" s="18"/>
      <c r="B651" s="11"/>
      <c r="C651" s="11"/>
      <c r="D651" s="11"/>
      <c r="E651" s="11"/>
      <c r="F651" s="11"/>
      <c r="G651" s="11"/>
      <c r="H651" s="11"/>
      <c r="I651" s="11"/>
      <c r="J651" s="11"/>
      <c r="K651" s="11"/>
      <c r="L651" s="15"/>
      <c r="M651" s="15"/>
      <c r="N651" s="15"/>
      <c r="O651" s="15"/>
      <c r="P651" s="15"/>
      <c r="Q651" s="11"/>
      <c r="R651" s="11"/>
      <c r="S651" s="11"/>
      <c r="T651" s="11"/>
      <c r="U651" s="15"/>
      <c r="V651" s="11"/>
      <c r="W651" s="11"/>
      <c r="X651" s="11"/>
      <c r="Y651" s="11"/>
      <c r="Z651" s="11"/>
    </row>
    <row r="652">
      <c r="A652" s="18"/>
      <c r="B652" s="11"/>
      <c r="C652" s="11"/>
      <c r="D652" s="11"/>
      <c r="E652" s="11"/>
      <c r="F652" s="11"/>
      <c r="G652" s="11"/>
      <c r="H652" s="11"/>
      <c r="I652" s="11"/>
      <c r="J652" s="11"/>
      <c r="K652" s="11"/>
      <c r="L652" s="15"/>
      <c r="M652" s="15"/>
      <c r="N652" s="15"/>
      <c r="O652" s="15"/>
      <c r="P652" s="15"/>
      <c r="Q652" s="11"/>
      <c r="R652" s="11"/>
      <c r="S652" s="11"/>
      <c r="T652" s="11"/>
      <c r="U652" s="15"/>
      <c r="V652" s="11"/>
      <c r="W652" s="11"/>
      <c r="X652" s="11"/>
      <c r="Y652" s="11"/>
      <c r="Z652" s="11"/>
    </row>
    <row r="653">
      <c r="A653" s="18"/>
      <c r="B653" s="11"/>
      <c r="C653" s="11"/>
      <c r="D653" s="11"/>
      <c r="E653" s="11"/>
      <c r="F653" s="11"/>
      <c r="G653" s="11"/>
      <c r="H653" s="11"/>
      <c r="I653" s="11"/>
      <c r="J653" s="11"/>
      <c r="K653" s="11"/>
      <c r="L653" s="15"/>
      <c r="M653" s="15"/>
      <c r="N653" s="15"/>
      <c r="O653" s="15"/>
      <c r="P653" s="15"/>
      <c r="Q653" s="11"/>
      <c r="R653" s="11"/>
      <c r="S653" s="11"/>
      <c r="T653" s="11"/>
      <c r="U653" s="15"/>
      <c r="V653" s="11"/>
      <c r="W653" s="11"/>
      <c r="X653" s="11"/>
      <c r="Y653" s="11"/>
      <c r="Z653" s="11"/>
    </row>
    <row r="654">
      <c r="A654" s="18"/>
      <c r="B654" s="11"/>
      <c r="C654" s="11"/>
      <c r="D654" s="11"/>
      <c r="E654" s="11"/>
      <c r="F654" s="11"/>
      <c r="G654" s="11"/>
      <c r="H654" s="11"/>
      <c r="I654" s="11"/>
      <c r="J654" s="11"/>
      <c r="K654" s="11"/>
      <c r="L654" s="15"/>
      <c r="M654" s="15"/>
      <c r="N654" s="15"/>
      <c r="O654" s="15"/>
      <c r="P654" s="15"/>
      <c r="Q654" s="11"/>
      <c r="R654" s="11"/>
      <c r="S654" s="11"/>
      <c r="T654" s="11"/>
      <c r="U654" s="15"/>
      <c r="V654" s="11"/>
      <c r="W654" s="11"/>
      <c r="X654" s="11"/>
      <c r="Y654" s="11"/>
      <c r="Z654" s="11"/>
    </row>
    <row r="655">
      <c r="A655" s="18"/>
      <c r="B655" s="11"/>
      <c r="C655" s="11"/>
      <c r="D655" s="11"/>
      <c r="E655" s="11"/>
      <c r="F655" s="11"/>
      <c r="G655" s="11"/>
      <c r="H655" s="11"/>
      <c r="I655" s="11"/>
      <c r="J655" s="11"/>
      <c r="K655" s="11"/>
      <c r="L655" s="15"/>
      <c r="M655" s="15"/>
      <c r="N655" s="15"/>
      <c r="O655" s="15"/>
      <c r="P655" s="15"/>
      <c r="Q655" s="11"/>
      <c r="R655" s="11"/>
      <c r="S655" s="11"/>
      <c r="T655" s="11"/>
      <c r="U655" s="15"/>
      <c r="V655" s="11"/>
      <c r="W655" s="11"/>
      <c r="X655" s="11"/>
      <c r="Y655" s="11"/>
      <c r="Z655" s="11"/>
    </row>
    <row r="656">
      <c r="A656" s="18"/>
      <c r="B656" s="11"/>
      <c r="C656" s="11"/>
      <c r="D656" s="11"/>
      <c r="E656" s="11"/>
      <c r="F656" s="11"/>
      <c r="G656" s="11"/>
      <c r="H656" s="11"/>
      <c r="I656" s="11"/>
      <c r="J656" s="11"/>
      <c r="K656" s="11"/>
      <c r="L656" s="15"/>
      <c r="M656" s="15"/>
      <c r="N656" s="15"/>
      <c r="O656" s="15"/>
      <c r="P656" s="15"/>
      <c r="Q656" s="11"/>
      <c r="R656" s="11"/>
      <c r="S656" s="11"/>
      <c r="T656" s="11"/>
      <c r="U656" s="15"/>
      <c r="V656" s="11"/>
      <c r="W656" s="11"/>
      <c r="X656" s="11"/>
      <c r="Y656" s="11"/>
      <c r="Z656" s="11"/>
    </row>
    <row r="657">
      <c r="A657" s="18"/>
      <c r="B657" s="11"/>
      <c r="C657" s="11"/>
      <c r="D657" s="11"/>
      <c r="E657" s="11"/>
      <c r="F657" s="11"/>
      <c r="G657" s="11"/>
      <c r="H657" s="11"/>
      <c r="I657" s="11"/>
      <c r="J657" s="11"/>
      <c r="K657" s="11"/>
      <c r="L657" s="15"/>
      <c r="M657" s="15"/>
      <c r="N657" s="15"/>
      <c r="O657" s="15"/>
      <c r="P657" s="15"/>
      <c r="Q657" s="11"/>
      <c r="R657" s="11"/>
      <c r="S657" s="11"/>
      <c r="T657" s="11"/>
      <c r="U657" s="15"/>
      <c r="V657" s="11"/>
      <c r="W657" s="11"/>
      <c r="X657" s="11"/>
      <c r="Y657" s="11"/>
      <c r="Z657" s="11"/>
    </row>
    <row r="658">
      <c r="A658" s="18"/>
      <c r="B658" s="11"/>
      <c r="C658" s="11"/>
      <c r="D658" s="11"/>
      <c r="E658" s="11"/>
      <c r="F658" s="11"/>
      <c r="G658" s="11"/>
      <c r="H658" s="11"/>
      <c r="I658" s="11"/>
      <c r="J658" s="11"/>
      <c r="K658" s="11"/>
      <c r="L658" s="15"/>
      <c r="M658" s="15"/>
      <c r="N658" s="15"/>
      <c r="O658" s="15"/>
      <c r="P658" s="15"/>
      <c r="Q658" s="11"/>
      <c r="R658" s="11"/>
      <c r="S658" s="11"/>
      <c r="T658" s="11"/>
      <c r="U658" s="15"/>
      <c r="V658" s="11"/>
      <c r="W658" s="11"/>
      <c r="X658" s="11"/>
      <c r="Y658" s="11"/>
      <c r="Z658" s="11"/>
    </row>
    <row r="659">
      <c r="A659" s="18"/>
      <c r="B659" s="11"/>
      <c r="C659" s="11"/>
      <c r="D659" s="11"/>
      <c r="E659" s="11"/>
      <c r="F659" s="11"/>
      <c r="G659" s="11"/>
      <c r="H659" s="11"/>
      <c r="I659" s="11"/>
      <c r="J659" s="11"/>
      <c r="K659" s="11"/>
      <c r="L659" s="15"/>
      <c r="M659" s="15"/>
      <c r="N659" s="15"/>
      <c r="O659" s="15"/>
      <c r="P659" s="15"/>
      <c r="Q659" s="11"/>
      <c r="R659" s="11"/>
      <c r="S659" s="11"/>
      <c r="T659" s="11"/>
      <c r="U659" s="15"/>
      <c r="V659" s="11"/>
      <c r="W659" s="11"/>
      <c r="X659" s="11"/>
      <c r="Y659" s="11"/>
      <c r="Z659" s="11"/>
    </row>
    <row r="660">
      <c r="A660" s="18"/>
      <c r="B660" s="11"/>
      <c r="C660" s="11"/>
      <c r="D660" s="11"/>
      <c r="E660" s="11"/>
      <c r="F660" s="11"/>
      <c r="G660" s="11"/>
      <c r="H660" s="11"/>
      <c r="I660" s="11"/>
      <c r="J660" s="11"/>
      <c r="K660" s="11"/>
      <c r="L660" s="15"/>
      <c r="M660" s="15"/>
      <c r="N660" s="15"/>
      <c r="O660" s="15"/>
      <c r="P660" s="15"/>
      <c r="Q660" s="11"/>
      <c r="R660" s="11"/>
      <c r="S660" s="11"/>
      <c r="T660" s="11"/>
      <c r="U660" s="15"/>
      <c r="V660" s="11"/>
      <c r="W660" s="11"/>
      <c r="X660" s="11"/>
      <c r="Y660" s="11"/>
      <c r="Z660" s="11"/>
    </row>
    <row r="661">
      <c r="A661" s="18"/>
      <c r="B661" s="11"/>
      <c r="C661" s="11"/>
      <c r="D661" s="11"/>
      <c r="E661" s="11"/>
      <c r="F661" s="11"/>
      <c r="G661" s="11"/>
      <c r="H661" s="11"/>
      <c r="I661" s="11"/>
      <c r="J661" s="11"/>
      <c r="K661" s="11"/>
      <c r="L661" s="15"/>
      <c r="M661" s="15"/>
      <c r="N661" s="15"/>
      <c r="O661" s="15"/>
      <c r="P661" s="15"/>
      <c r="Q661" s="11"/>
      <c r="R661" s="11"/>
      <c r="S661" s="11"/>
      <c r="T661" s="11"/>
      <c r="U661" s="15"/>
      <c r="V661" s="11"/>
      <c r="W661" s="11"/>
      <c r="X661" s="11"/>
      <c r="Y661" s="11"/>
      <c r="Z661" s="11"/>
    </row>
    <row r="662">
      <c r="A662" s="18"/>
      <c r="B662" s="11"/>
      <c r="C662" s="11"/>
      <c r="D662" s="11"/>
      <c r="E662" s="11"/>
      <c r="F662" s="11"/>
      <c r="G662" s="11"/>
      <c r="H662" s="11"/>
      <c r="I662" s="11"/>
      <c r="J662" s="11"/>
      <c r="K662" s="11"/>
      <c r="L662" s="15"/>
      <c r="M662" s="15"/>
      <c r="N662" s="15"/>
      <c r="O662" s="15"/>
      <c r="P662" s="15"/>
      <c r="Q662" s="11"/>
      <c r="R662" s="11"/>
      <c r="S662" s="11"/>
      <c r="T662" s="11"/>
      <c r="U662" s="15"/>
      <c r="V662" s="11"/>
      <c r="W662" s="11"/>
      <c r="X662" s="11"/>
      <c r="Y662" s="11"/>
      <c r="Z662" s="11"/>
    </row>
    <row r="663">
      <c r="A663" s="18"/>
      <c r="B663" s="11"/>
      <c r="C663" s="11"/>
      <c r="D663" s="11"/>
      <c r="E663" s="11"/>
      <c r="F663" s="11"/>
      <c r="G663" s="11"/>
      <c r="H663" s="11"/>
      <c r="I663" s="11"/>
      <c r="J663" s="11"/>
      <c r="K663" s="11"/>
      <c r="L663" s="15"/>
      <c r="M663" s="15"/>
      <c r="N663" s="15"/>
      <c r="O663" s="15"/>
      <c r="P663" s="15"/>
      <c r="Q663" s="11"/>
      <c r="R663" s="11"/>
      <c r="S663" s="11"/>
      <c r="T663" s="11"/>
      <c r="U663" s="15"/>
      <c r="V663" s="11"/>
      <c r="W663" s="11"/>
      <c r="X663" s="11"/>
      <c r="Y663" s="11"/>
      <c r="Z663" s="11"/>
    </row>
    <row r="664">
      <c r="A664" s="18"/>
      <c r="B664" s="11"/>
      <c r="C664" s="11"/>
      <c r="D664" s="11"/>
      <c r="E664" s="11"/>
      <c r="F664" s="11"/>
      <c r="G664" s="11"/>
      <c r="H664" s="11"/>
      <c r="I664" s="11"/>
      <c r="J664" s="11"/>
      <c r="K664" s="11"/>
      <c r="L664" s="15"/>
      <c r="M664" s="15"/>
      <c r="N664" s="15"/>
      <c r="O664" s="15"/>
      <c r="P664" s="15"/>
      <c r="Q664" s="11"/>
      <c r="R664" s="11"/>
      <c r="S664" s="11"/>
      <c r="T664" s="11"/>
      <c r="U664" s="15"/>
      <c r="V664" s="11"/>
      <c r="W664" s="11"/>
      <c r="X664" s="11"/>
      <c r="Y664" s="11"/>
      <c r="Z664" s="11"/>
    </row>
    <row r="665">
      <c r="A665" s="18"/>
      <c r="B665" s="11"/>
      <c r="C665" s="11"/>
      <c r="D665" s="11"/>
      <c r="E665" s="11"/>
      <c r="F665" s="11"/>
      <c r="G665" s="11"/>
      <c r="H665" s="11"/>
      <c r="I665" s="11"/>
      <c r="J665" s="11"/>
      <c r="K665" s="11"/>
      <c r="L665" s="15"/>
      <c r="M665" s="15"/>
      <c r="N665" s="15"/>
      <c r="O665" s="15"/>
      <c r="P665" s="15"/>
      <c r="Q665" s="11"/>
      <c r="R665" s="11"/>
      <c r="S665" s="11"/>
      <c r="T665" s="11"/>
      <c r="U665" s="15"/>
      <c r="V665" s="11"/>
      <c r="W665" s="11"/>
      <c r="X665" s="11"/>
      <c r="Y665" s="11"/>
      <c r="Z665" s="11"/>
    </row>
    <row r="666">
      <c r="A666" s="18"/>
      <c r="B666" s="11"/>
      <c r="C666" s="11"/>
      <c r="D666" s="11"/>
      <c r="E666" s="11"/>
      <c r="F666" s="11"/>
      <c r="G666" s="11"/>
      <c r="H666" s="11"/>
      <c r="I666" s="11"/>
      <c r="J666" s="11"/>
      <c r="K666" s="11"/>
      <c r="L666" s="15"/>
      <c r="M666" s="15"/>
      <c r="N666" s="15"/>
      <c r="O666" s="15"/>
      <c r="P666" s="15"/>
      <c r="Q666" s="11"/>
      <c r="R666" s="11"/>
      <c r="S666" s="11"/>
      <c r="T666" s="11"/>
      <c r="U666" s="15"/>
      <c r="V666" s="11"/>
      <c r="W666" s="11"/>
      <c r="X666" s="11"/>
      <c r="Y666" s="11"/>
      <c r="Z666" s="11"/>
    </row>
    <row r="667">
      <c r="A667" s="18"/>
      <c r="B667" s="11"/>
      <c r="C667" s="11"/>
      <c r="D667" s="11"/>
      <c r="E667" s="11"/>
      <c r="F667" s="11"/>
      <c r="G667" s="11"/>
      <c r="H667" s="11"/>
      <c r="I667" s="11"/>
      <c r="J667" s="11"/>
      <c r="K667" s="11"/>
      <c r="L667" s="15"/>
      <c r="M667" s="15"/>
      <c r="N667" s="15"/>
      <c r="O667" s="15"/>
      <c r="P667" s="15"/>
      <c r="Q667" s="11"/>
      <c r="R667" s="11"/>
      <c r="S667" s="11"/>
      <c r="T667" s="11"/>
      <c r="U667" s="15"/>
      <c r="V667" s="11"/>
      <c r="W667" s="11"/>
      <c r="X667" s="11"/>
      <c r="Y667" s="11"/>
      <c r="Z667" s="11"/>
    </row>
    <row r="668">
      <c r="A668" s="18"/>
      <c r="B668" s="11"/>
      <c r="C668" s="11"/>
      <c r="D668" s="11"/>
      <c r="E668" s="11"/>
      <c r="F668" s="11"/>
      <c r="G668" s="11"/>
      <c r="H668" s="11"/>
      <c r="I668" s="11"/>
      <c r="J668" s="11"/>
      <c r="K668" s="11"/>
      <c r="L668" s="15"/>
      <c r="M668" s="15"/>
      <c r="N668" s="15"/>
      <c r="O668" s="15"/>
      <c r="P668" s="15"/>
      <c r="Q668" s="11"/>
      <c r="R668" s="11"/>
      <c r="S668" s="11"/>
      <c r="T668" s="11"/>
      <c r="U668" s="15"/>
      <c r="V668" s="11"/>
      <c r="W668" s="11"/>
      <c r="X668" s="11"/>
      <c r="Y668" s="11"/>
      <c r="Z668" s="11"/>
    </row>
    <row r="669">
      <c r="A669" s="18"/>
      <c r="B669" s="11"/>
      <c r="C669" s="11"/>
      <c r="D669" s="11"/>
      <c r="E669" s="11"/>
      <c r="F669" s="11"/>
      <c r="G669" s="11"/>
      <c r="H669" s="11"/>
      <c r="I669" s="11"/>
      <c r="J669" s="11"/>
      <c r="K669" s="11"/>
      <c r="L669" s="15"/>
      <c r="M669" s="15"/>
      <c r="N669" s="15"/>
      <c r="O669" s="15"/>
      <c r="P669" s="15"/>
      <c r="Q669" s="11"/>
      <c r="R669" s="11"/>
      <c r="S669" s="11"/>
      <c r="T669" s="11"/>
      <c r="U669" s="15"/>
      <c r="V669" s="11"/>
      <c r="W669" s="11"/>
      <c r="X669" s="11"/>
      <c r="Y669" s="11"/>
      <c r="Z669" s="11"/>
    </row>
    <row r="670">
      <c r="A670" s="18"/>
      <c r="B670" s="11"/>
      <c r="C670" s="11"/>
      <c r="D670" s="11"/>
      <c r="E670" s="11"/>
      <c r="F670" s="11"/>
      <c r="G670" s="11"/>
      <c r="H670" s="11"/>
      <c r="I670" s="11"/>
      <c r="J670" s="11"/>
      <c r="K670" s="11"/>
      <c r="L670" s="15"/>
      <c r="M670" s="15"/>
      <c r="N670" s="15"/>
      <c r="O670" s="15"/>
      <c r="P670" s="15"/>
      <c r="Q670" s="11"/>
      <c r="R670" s="11"/>
      <c r="S670" s="11"/>
      <c r="T670" s="11"/>
      <c r="U670" s="15"/>
      <c r="V670" s="11"/>
      <c r="W670" s="11"/>
      <c r="X670" s="11"/>
      <c r="Y670" s="11"/>
      <c r="Z670" s="11"/>
    </row>
    <row r="671">
      <c r="A671" s="18"/>
      <c r="B671" s="11"/>
      <c r="C671" s="11"/>
      <c r="D671" s="11"/>
      <c r="E671" s="11"/>
      <c r="F671" s="11"/>
      <c r="G671" s="11"/>
      <c r="H671" s="11"/>
      <c r="I671" s="11"/>
      <c r="J671" s="11"/>
      <c r="K671" s="11"/>
      <c r="L671" s="15"/>
      <c r="M671" s="15"/>
      <c r="N671" s="15"/>
      <c r="O671" s="15"/>
      <c r="P671" s="15"/>
      <c r="Q671" s="11"/>
      <c r="R671" s="11"/>
      <c r="S671" s="11"/>
      <c r="T671" s="11"/>
      <c r="U671" s="15"/>
      <c r="V671" s="11"/>
      <c r="W671" s="11"/>
      <c r="X671" s="11"/>
      <c r="Y671" s="11"/>
      <c r="Z671" s="11"/>
    </row>
    <row r="672">
      <c r="A672" s="18"/>
      <c r="B672" s="11"/>
      <c r="C672" s="11"/>
      <c r="D672" s="11"/>
      <c r="E672" s="11"/>
      <c r="F672" s="11"/>
      <c r="G672" s="11"/>
      <c r="H672" s="11"/>
      <c r="I672" s="11"/>
      <c r="J672" s="11"/>
      <c r="K672" s="11"/>
      <c r="L672" s="15"/>
      <c r="M672" s="15"/>
      <c r="N672" s="15"/>
      <c r="O672" s="15"/>
      <c r="P672" s="15"/>
      <c r="Q672" s="11"/>
      <c r="R672" s="11"/>
      <c r="S672" s="11"/>
      <c r="T672" s="11"/>
      <c r="U672" s="15"/>
      <c r="V672" s="11"/>
      <c r="W672" s="11"/>
      <c r="X672" s="11"/>
      <c r="Y672" s="11"/>
      <c r="Z672" s="11"/>
    </row>
    <row r="673">
      <c r="A673" s="18"/>
      <c r="B673" s="11"/>
      <c r="C673" s="11"/>
      <c r="D673" s="11"/>
      <c r="E673" s="11"/>
      <c r="F673" s="11"/>
      <c r="G673" s="11"/>
      <c r="H673" s="11"/>
      <c r="I673" s="11"/>
      <c r="J673" s="11"/>
      <c r="K673" s="11"/>
      <c r="L673" s="15"/>
      <c r="M673" s="15"/>
      <c r="N673" s="15"/>
      <c r="O673" s="15"/>
      <c r="P673" s="15"/>
      <c r="Q673" s="11"/>
      <c r="R673" s="11"/>
      <c r="S673" s="11"/>
      <c r="T673" s="11"/>
      <c r="U673" s="15"/>
      <c r="V673" s="11"/>
      <c r="W673" s="11"/>
      <c r="X673" s="11"/>
      <c r="Y673" s="11"/>
      <c r="Z673" s="11"/>
    </row>
    <row r="674">
      <c r="A674" s="18"/>
      <c r="B674" s="11"/>
      <c r="C674" s="11"/>
      <c r="D674" s="11"/>
      <c r="E674" s="11"/>
      <c r="F674" s="11"/>
      <c r="G674" s="11"/>
      <c r="H674" s="11"/>
      <c r="I674" s="11"/>
      <c r="J674" s="11"/>
      <c r="K674" s="11"/>
      <c r="L674" s="15"/>
      <c r="M674" s="15"/>
      <c r="N674" s="15"/>
      <c r="O674" s="15"/>
      <c r="P674" s="15"/>
      <c r="Q674" s="11"/>
      <c r="R674" s="11"/>
      <c r="S674" s="11"/>
      <c r="T674" s="11"/>
      <c r="U674" s="15"/>
      <c r="V674" s="11"/>
      <c r="W674" s="11"/>
      <c r="X674" s="11"/>
      <c r="Y674" s="11"/>
      <c r="Z674" s="11"/>
    </row>
    <row r="675">
      <c r="A675" s="18"/>
      <c r="B675" s="11"/>
      <c r="C675" s="11"/>
      <c r="D675" s="11"/>
      <c r="E675" s="11"/>
      <c r="F675" s="11"/>
      <c r="G675" s="11"/>
      <c r="H675" s="11"/>
      <c r="I675" s="11"/>
      <c r="J675" s="11"/>
      <c r="K675" s="11"/>
      <c r="L675" s="15"/>
      <c r="M675" s="15"/>
      <c r="N675" s="15"/>
      <c r="O675" s="15"/>
      <c r="P675" s="15"/>
      <c r="Q675" s="11"/>
      <c r="R675" s="11"/>
      <c r="S675" s="11"/>
      <c r="T675" s="11"/>
      <c r="U675" s="15"/>
      <c r="V675" s="11"/>
      <c r="W675" s="11"/>
      <c r="X675" s="11"/>
      <c r="Y675" s="11"/>
      <c r="Z675" s="11"/>
    </row>
    <row r="676">
      <c r="A676" s="18"/>
      <c r="B676" s="11"/>
      <c r="C676" s="11"/>
      <c r="D676" s="11"/>
      <c r="E676" s="11"/>
      <c r="F676" s="11"/>
      <c r="G676" s="11"/>
      <c r="H676" s="11"/>
      <c r="I676" s="11"/>
      <c r="J676" s="11"/>
      <c r="K676" s="11"/>
      <c r="L676" s="15"/>
      <c r="M676" s="15"/>
      <c r="N676" s="15"/>
      <c r="O676" s="15"/>
      <c r="P676" s="15"/>
      <c r="Q676" s="11"/>
      <c r="R676" s="11"/>
      <c r="S676" s="11"/>
      <c r="T676" s="11"/>
      <c r="U676" s="15"/>
      <c r="V676" s="11"/>
      <c r="W676" s="11"/>
      <c r="X676" s="11"/>
      <c r="Y676" s="11"/>
      <c r="Z676" s="11"/>
    </row>
    <row r="677">
      <c r="A677" s="18"/>
      <c r="B677" s="11"/>
      <c r="C677" s="11"/>
      <c r="D677" s="11"/>
      <c r="E677" s="11"/>
      <c r="F677" s="11"/>
      <c r="G677" s="11"/>
      <c r="H677" s="11"/>
      <c r="I677" s="11"/>
      <c r="J677" s="11"/>
      <c r="K677" s="11"/>
      <c r="L677" s="15"/>
      <c r="M677" s="15"/>
      <c r="N677" s="15"/>
      <c r="O677" s="15"/>
      <c r="P677" s="15"/>
      <c r="Q677" s="11"/>
      <c r="R677" s="11"/>
      <c r="S677" s="11"/>
      <c r="T677" s="11"/>
      <c r="U677" s="15"/>
      <c r="V677" s="11"/>
      <c r="W677" s="11"/>
      <c r="X677" s="11"/>
      <c r="Y677" s="11"/>
      <c r="Z677" s="11"/>
    </row>
    <row r="678">
      <c r="A678" s="18"/>
      <c r="B678" s="11"/>
      <c r="C678" s="11"/>
      <c r="D678" s="11"/>
      <c r="E678" s="11"/>
      <c r="F678" s="11"/>
      <c r="G678" s="11"/>
      <c r="H678" s="11"/>
      <c r="I678" s="11"/>
      <c r="J678" s="11"/>
      <c r="K678" s="11"/>
      <c r="L678" s="15"/>
      <c r="M678" s="15"/>
      <c r="N678" s="15"/>
      <c r="O678" s="15"/>
      <c r="P678" s="15"/>
      <c r="Q678" s="11"/>
      <c r="R678" s="11"/>
      <c r="S678" s="11"/>
      <c r="T678" s="11"/>
      <c r="U678" s="15"/>
      <c r="V678" s="11"/>
      <c r="W678" s="11"/>
      <c r="X678" s="11"/>
      <c r="Y678" s="11"/>
      <c r="Z678" s="11"/>
    </row>
    <row r="679">
      <c r="A679" s="18"/>
      <c r="B679" s="11"/>
      <c r="C679" s="11"/>
      <c r="D679" s="11"/>
      <c r="E679" s="11"/>
      <c r="F679" s="11"/>
      <c r="G679" s="11"/>
      <c r="H679" s="11"/>
      <c r="I679" s="11"/>
      <c r="J679" s="11"/>
      <c r="K679" s="11"/>
      <c r="L679" s="15"/>
      <c r="M679" s="15"/>
      <c r="N679" s="15"/>
      <c r="O679" s="15"/>
      <c r="P679" s="15"/>
      <c r="Q679" s="11"/>
      <c r="R679" s="11"/>
      <c r="S679" s="11"/>
      <c r="T679" s="11"/>
      <c r="U679" s="15"/>
      <c r="V679" s="11"/>
      <c r="W679" s="11"/>
      <c r="X679" s="11"/>
      <c r="Y679" s="11"/>
      <c r="Z679" s="11"/>
    </row>
    <row r="680">
      <c r="A680" s="18"/>
      <c r="B680" s="11"/>
      <c r="C680" s="11"/>
      <c r="D680" s="11"/>
      <c r="E680" s="11"/>
      <c r="F680" s="11"/>
      <c r="G680" s="11"/>
      <c r="H680" s="11"/>
      <c r="I680" s="11"/>
      <c r="J680" s="11"/>
      <c r="K680" s="11"/>
      <c r="L680" s="15"/>
      <c r="M680" s="15"/>
      <c r="N680" s="15"/>
      <c r="O680" s="15"/>
      <c r="P680" s="15"/>
      <c r="Q680" s="11"/>
      <c r="R680" s="11"/>
      <c r="S680" s="11"/>
      <c r="T680" s="11"/>
      <c r="U680" s="15"/>
      <c r="V680" s="11"/>
      <c r="W680" s="11"/>
      <c r="X680" s="11"/>
      <c r="Y680" s="11"/>
      <c r="Z680" s="11"/>
    </row>
    <row r="681">
      <c r="A681" s="18"/>
      <c r="B681" s="11"/>
      <c r="C681" s="11"/>
      <c r="D681" s="11"/>
      <c r="E681" s="11"/>
      <c r="F681" s="11"/>
      <c r="G681" s="11"/>
      <c r="H681" s="11"/>
      <c r="I681" s="11"/>
      <c r="J681" s="11"/>
      <c r="K681" s="11"/>
      <c r="L681" s="15"/>
      <c r="M681" s="15"/>
      <c r="N681" s="15"/>
      <c r="O681" s="15"/>
      <c r="P681" s="15"/>
      <c r="Q681" s="11"/>
      <c r="R681" s="11"/>
      <c r="S681" s="11"/>
      <c r="T681" s="11"/>
      <c r="U681" s="15"/>
      <c r="V681" s="11"/>
      <c r="W681" s="11"/>
      <c r="X681" s="11"/>
      <c r="Y681" s="11"/>
      <c r="Z681" s="11"/>
    </row>
    <row r="682">
      <c r="A682" s="18"/>
      <c r="B682" s="11"/>
      <c r="C682" s="11"/>
      <c r="D682" s="11"/>
      <c r="E682" s="11"/>
      <c r="F682" s="11"/>
      <c r="G682" s="11"/>
      <c r="H682" s="11"/>
      <c r="I682" s="11"/>
      <c r="J682" s="11"/>
      <c r="K682" s="11"/>
      <c r="L682" s="15"/>
      <c r="M682" s="15"/>
      <c r="N682" s="15"/>
      <c r="O682" s="15"/>
      <c r="P682" s="15"/>
      <c r="Q682" s="11"/>
      <c r="R682" s="11"/>
      <c r="S682" s="11"/>
      <c r="T682" s="11"/>
      <c r="U682" s="15"/>
      <c r="V682" s="11"/>
      <c r="W682" s="11"/>
      <c r="X682" s="11"/>
      <c r="Y682" s="11"/>
      <c r="Z682" s="11"/>
    </row>
    <row r="683">
      <c r="A683" s="18"/>
      <c r="B683" s="11"/>
      <c r="C683" s="11"/>
      <c r="D683" s="11"/>
      <c r="E683" s="11"/>
      <c r="F683" s="11"/>
      <c r="G683" s="11"/>
      <c r="H683" s="11"/>
      <c r="I683" s="11"/>
      <c r="J683" s="11"/>
      <c r="K683" s="11"/>
      <c r="L683" s="15"/>
      <c r="M683" s="15"/>
      <c r="N683" s="15"/>
      <c r="O683" s="15"/>
      <c r="P683" s="15"/>
      <c r="Q683" s="11"/>
      <c r="R683" s="11"/>
      <c r="S683" s="11"/>
      <c r="T683" s="11"/>
      <c r="U683" s="15"/>
      <c r="V683" s="11"/>
      <c r="W683" s="11"/>
      <c r="X683" s="11"/>
      <c r="Y683" s="11"/>
      <c r="Z683" s="11"/>
    </row>
    <row r="684">
      <c r="A684" s="18"/>
      <c r="B684" s="11"/>
      <c r="C684" s="11"/>
      <c r="D684" s="11"/>
      <c r="E684" s="11"/>
      <c r="F684" s="11"/>
      <c r="G684" s="11"/>
      <c r="H684" s="11"/>
      <c r="I684" s="11"/>
      <c r="J684" s="11"/>
      <c r="K684" s="11"/>
      <c r="L684" s="15"/>
      <c r="M684" s="15"/>
      <c r="N684" s="15"/>
      <c r="O684" s="15"/>
      <c r="P684" s="15"/>
      <c r="Q684" s="11"/>
      <c r="R684" s="11"/>
      <c r="S684" s="11"/>
      <c r="T684" s="11"/>
      <c r="U684" s="15"/>
      <c r="V684" s="11"/>
      <c r="W684" s="11"/>
      <c r="X684" s="11"/>
      <c r="Y684" s="11"/>
      <c r="Z684" s="11"/>
    </row>
    <row r="685">
      <c r="A685" s="18"/>
      <c r="B685" s="11"/>
      <c r="C685" s="11"/>
      <c r="D685" s="11"/>
      <c r="E685" s="11"/>
      <c r="F685" s="11"/>
      <c r="G685" s="11"/>
      <c r="H685" s="11"/>
      <c r="I685" s="11"/>
      <c r="J685" s="11"/>
      <c r="K685" s="11"/>
      <c r="L685" s="15"/>
      <c r="M685" s="15"/>
      <c r="N685" s="15"/>
      <c r="O685" s="15"/>
      <c r="P685" s="15"/>
      <c r="Q685" s="11"/>
      <c r="R685" s="11"/>
      <c r="S685" s="11"/>
      <c r="T685" s="11"/>
      <c r="U685" s="15"/>
      <c r="V685" s="11"/>
      <c r="W685" s="11"/>
      <c r="X685" s="11"/>
      <c r="Y685" s="11"/>
      <c r="Z685" s="11"/>
    </row>
    <row r="686">
      <c r="A686" s="18"/>
      <c r="B686" s="11"/>
      <c r="C686" s="11"/>
      <c r="D686" s="11"/>
      <c r="E686" s="11"/>
      <c r="F686" s="11"/>
      <c r="G686" s="11"/>
      <c r="H686" s="11"/>
      <c r="I686" s="11"/>
      <c r="J686" s="11"/>
      <c r="K686" s="11"/>
      <c r="L686" s="15"/>
      <c r="M686" s="15"/>
      <c r="N686" s="15"/>
      <c r="O686" s="15"/>
      <c r="P686" s="15"/>
      <c r="Q686" s="11"/>
      <c r="R686" s="11"/>
      <c r="S686" s="11"/>
      <c r="T686" s="11"/>
      <c r="U686" s="15"/>
      <c r="V686" s="11"/>
      <c r="W686" s="11"/>
      <c r="X686" s="11"/>
      <c r="Y686" s="11"/>
      <c r="Z686" s="11"/>
    </row>
    <row r="687">
      <c r="A687" s="18"/>
      <c r="B687" s="11"/>
      <c r="C687" s="11"/>
      <c r="D687" s="11"/>
      <c r="E687" s="11"/>
      <c r="F687" s="11"/>
      <c r="G687" s="11"/>
      <c r="H687" s="11"/>
      <c r="I687" s="11"/>
      <c r="J687" s="11"/>
      <c r="K687" s="11"/>
      <c r="L687" s="15"/>
      <c r="M687" s="15"/>
      <c r="N687" s="15"/>
      <c r="O687" s="15"/>
      <c r="P687" s="15"/>
      <c r="Q687" s="11"/>
      <c r="R687" s="11"/>
      <c r="S687" s="11"/>
      <c r="T687" s="11"/>
      <c r="U687" s="15"/>
      <c r="V687" s="11"/>
      <c r="W687" s="11"/>
      <c r="X687" s="11"/>
      <c r="Y687" s="11"/>
      <c r="Z687" s="11"/>
    </row>
    <row r="688">
      <c r="A688" s="18"/>
      <c r="B688" s="11"/>
      <c r="C688" s="11"/>
      <c r="D688" s="11"/>
      <c r="E688" s="11"/>
      <c r="F688" s="11"/>
      <c r="G688" s="11"/>
      <c r="H688" s="11"/>
      <c r="I688" s="11"/>
      <c r="J688" s="11"/>
      <c r="K688" s="11"/>
      <c r="L688" s="15"/>
      <c r="M688" s="15"/>
      <c r="N688" s="15"/>
      <c r="O688" s="15"/>
      <c r="P688" s="15"/>
      <c r="Q688" s="11"/>
      <c r="R688" s="11"/>
      <c r="S688" s="11"/>
      <c r="T688" s="11"/>
      <c r="U688" s="15"/>
      <c r="V688" s="11"/>
      <c r="W688" s="11"/>
      <c r="X688" s="11"/>
      <c r="Y688" s="11"/>
      <c r="Z688" s="11"/>
    </row>
    <row r="689">
      <c r="A689" s="18"/>
      <c r="B689" s="11"/>
      <c r="C689" s="11"/>
      <c r="D689" s="11"/>
      <c r="E689" s="11"/>
      <c r="F689" s="11"/>
      <c r="G689" s="11"/>
      <c r="H689" s="11"/>
      <c r="I689" s="11"/>
      <c r="J689" s="11"/>
      <c r="K689" s="11"/>
      <c r="L689" s="15"/>
      <c r="M689" s="15"/>
      <c r="N689" s="15"/>
      <c r="O689" s="15"/>
      <c r="P689" s="15"/>
      <c r="Q689" s="11"/>
      <c r="R689" s="11"/>
      <c r="S689" s="11"/>
      <c r="T689" s="11"/>
      <c r="U689" s="15"/>
      <c r="V689" s="11"/>
      <c r="W689" s="11"/>
      <c r="X689" s="11"/>
      <c r="Y689" s="11"/>
      <c r="Z689" s="11"/>
    </row>
    <row r="690">
      <c r="A690" s="18"/>
      <c r="B690" s="11"/>
      <c r="C690" s="11"/>
      <c r="D690" s="11"/>
      <c r="E690" s="11"/>
      <c r="F690" s="11"/>
      <c r="G690" s="11"/>
      <c r="H690" s="11"/>
      <c r="I690" s="11"/>
      <c r="J690" s="11"/>
      <c r="K690" s="11"/>
      <c r="L690" s="15"/>
      <c r="M690" s="15"/>
      <c r="N690" s="15"/>
      <c r="O690" s="15"/>
      <c r="P690" s="15"/>
      <c r="Q690" s="11"/>
      <c r="R690" s="11"/>
      <c r="S690" s="11"/>
      <c r="T690" s="11"/>
      <c r="U690" s="15"/>
      <c r="V690" s="11"/>
      <c r="W690" s="11"/>
      <c r="X690" s="11"/>
      <c r="Y690" s="11"/>
      <c r="Z690" s="11"/>
    </row>
    <row r="691">
      <c r="A691" s="18"/>
      <c r="B691" s="11"/>
      <c r="C691" s="11"/>
      <c r="D691" s="11"/>
      <c r="E691" s="11"/>
      <c r="F691" s="11"/>
      <c r="G691" s="11"/>
      <c r="H691" s="11"/>
      <c r="I691" s="11"/>
      <c r="J691" s="11"/>
      <c r="K691" s="11"/>
      <c r="L691" s="15"/>
      <c r="M691" s="15"/>
      <c r="N691" s="15"/>
      <c r="O691" s="15"/>
      <c r="P691" s="15"/>
      <c r="Q691" s="11"/>
      <c r="R691" s="11"/>
      <c r="S691" s="11"/>
      <c r="T691" s="11"/>
      <c r="U691" s="15"/>
      <c r="V691" s="11"/>
      <c r="W691" s="11"/>
      <c r="X691" s="11"/>
      <c r="Y691" s="11"/>
      <c r="Z691" s="11"/>
    </row>
    <row r="692">
      <c r="A692" s="18"/>
      <c r="B692" s="11"/>
      <c r="C692" s="11"/>
      <c r="D692" s="11"/>
      <c r="E692" s="11"/>
      <c r="F692" s="11"/>
      <c r="G692" s="11"/>
      <c r="H692" s="11"/>
      <c r="I692" s="11"/>
      <c r="J692" s="11"/>
      <c r="K692" s="11"/>
      <c r="L692" s="15"/>
      <c r="M692" s="15"/>
      <c r="N692" s="15"/>
      <c r="O692" s="15"/>
      <c r="P692" s="15"/>
      <c r="Q692" s="11"/>
      <c r="R692" s="11"/>
      <c r="S692" s="11"/>
      <c r="T692" s="11"/>
      <c r="U692" s="15"/>
      <c r="V692" s="11"/>
      <c r="W692" s="11"/>
      <c r="X692" s="11"/>
      <c r="Y692" s="11"/>
      <c r="Z692" s="11"/>
    </row>
    <row r="693">
      <c r="A693" s="18"/>
      <c r="B693" s="11"/>
      <c r="C693" s="11"/>
      <c r="D693" s="11"/>
      <c r="E693" s="11"/>
      <c r="F693" s="11"/>
      <c r="G693" s="11"/>
      <c r="H693" s="11"/>
      <c r="I693" s="11"/>
      <c r="J693" s="11"/>
      <c r="K693" s="11"/>
      <c r="L693" s="15"/>
      <c r="M693" s="15"/>
      <c r="N693" s="15"/>
      <c r="O693" s="15"/>
      <c r="P693" s="15"/>
      <c r="Q693" s="11"/>
      <c r="R693" s="11"/>
      <c r="S693" s="11"/>
      <c r="T693" s="11"/>
      <c r="U693" s="15"/>
      <c r="V693" s="11"/>
      <c r="W693" s="11"/>
      <c r="X693" s="11"/>
      <c r="Y693" s="11"/>
      <c r="Z693" s="11"/>
    </row>
    <row r="694">
      <c r="A694" s="18"/>
      <c r="B694" s="11"/>
      <c r="C694" s="11"/>
      <c r="D694" s="11"/>
      <c r="E694" s="11"/>
      <c r="F694" s="11"/>
      <c r="G694" s="11"/>
      <c r="H694" s="11"/>
      <c r="I694" s="11"/>
      <c r="J694" s="11"/>
      <c r="K694" s="11"/>
      <c r="L694" s="15"/>
      <c r="M694" s="15"/>
      <c r="N694" s="15"/>
      <c r="O694" s="15"/>
      <c r="P694" s="15"/>
      <c r="Q694" s="11"/>
      <c r="R694" s="11"/>
      <c r="S694" s="11"/>
      <c r="T694" s="11"/>
      <c r="U694" s="15"/>
      <c r="V694" s="11"/>
      <c r="W694" s="11"/>
      <c r="X694" s="11"/>
      <c r="Y694" s="11"/>
      <c r="Z694" s="11"/>
    </row>
    <row r="695">
      <c r="A695" s="18"/>
      <c r="B695" s="11"/>
      <c r="C695" s="11"/>
      <c r="D695" s="11"/>
      <c r="E695" s="11"/>
      <c r="F695" s="11"/>
      <c r="G695" s="11"/>
      <c r="H695" s="11"/>
      <c r="I695" s="11"/>
      <c r="J695" s="11"/>
      <c r="K695" s="11"/>
      <c r="L695" s="15"/>
      <c r="M695" s="15"/>
      <c r="N695" s="15"/>
      <c r="O695" s="15"/>
      <c r="P695" s="15"/>
      <c r="Q695" s="11"/>
      <c r="R695" s="11"/>
      <c r="S695" s="11"/>
      <c r="T695" s="11"/>
      <c r="U695" s="15"/>
      <c r="V695" s="11"/>
      <c r="W695" s="11"/>
      <c r="X695" s="11"/>
      <c r="Y695" s="11"/>
      <c r="Z695" s="11"/>
    </row>
    <row r="696">
      <c r="A696" s="18"/>
      <c r="B696" s="11"/>
      <c r="C696" s="11"/>
      <c r="D696" s="11"/>
      <c r="E696" s="11"/>
      <c r="F696" s="11"/>
      <c r="G696" s="11"/>
      <c r="H696" s="11"/>
      <c r="I696" s="11"/>
      <c r="J696" s="11"/>
      <c r="K696" s="11"/>
      <c r="L696" s="15"/>
      <c r="M696" s="15"/>
      <c r="N696" s="15"/>
      <c r="O696" s="15"/>
      <c r="P696" s="15"/>
      <c r="Q696" s="11"/>
      <c r="R696" s="11"/>
      <c r="S696" s="11"/>
      <c r="T696" s="11"/>
      <c r="U696" s="15"/>
      <c r="V696" s="11"/>
      <c r="W696" s="11"/>
      <c r="X696" s="11"/>
      <c r="Y696" s="11"/>
      <c r="Z696" s="11"/>
    </row>
    <row r="697">
      <c r="A697" s="18"/>
      <c r="B697" s="11"/>
      <c r="C697" s="11"/>
      <c r="D697" s="11"/>
      <c r="E697" s="11"/>
      <c r="F697" s="11"/>
      <c r="G697" s="11"/>
      <c r="H697" s="11"/>
      <c r="I697" s="11"/>
      <c r="J697" s="11"/>
      <c r="K697" s="11"/>
      <c r="L697" s="15"/>
      <c r="M697" s="15"/>
      <c r="N697" s="15"/>
      <c r="O697" s="15"/>
      <c r="P697" s="15"/>
      <c r="Q697" s="11"/>
      <c r="R697" s="11"/>
      <c r="S697" s="11"/>
      <c r="T697" s="11"/>
      <c r="U697" s="15"/>
      <c r="V697" s="11"/>
      <c r="W697" s="11"/>
      <c r="X697" s="11"/>
      <c r="Y697" s="11"/>
      <c r="Z697" s="11"/>
    </row>
    <row r="698">
      <c r="A698" s="18"/>
      <c r="B698" s="11"/>
      <c r="C698" s="11"/>
      <c r="D698" s="11"/>
      <c r="E698" s="11"/>
      <c r="F698" s="11"/>
      <c r="G698" s="11"/>
      <c r="H698" s="11"/>
      <c r="I698" s="11"/>
      <c r="J698" s="11"/>
      <c r="K698" s="11"/>
      <c r="L698" s="15"/>
      <c r="M698" s="15"/>
      <c r="N698" s="15"/>
      <c r="O698" s="15"/>
      <c r="P698" s="15"/>
      <c r="Q698" s="11"/>
      <c r="R698" s="11"/>
      <c r="S698" s="11"/>
      <c r="T698" s="11"/>
      <c r="U698" s="15"/>
      <c r="V698" s="11"/>
      <c r="W698" s="11"/>
      <c r="X698" s="11"/>
      <c r="Y698" s="11"/>
      <c r="Z698" s="11"/>
    </row>
    <row r="699">
      <c r="A699" s="18"/>
      <c r="B699" s="11"/>
      <c r="C699" s="11"/>
      <c r="D699" s="11"/>
      <c r="E699" s="11"/>
      <c r="F699" s="11"/>
      <c r="G699" s="11"/>
      <c r="H699" s="11"/>
      <c r="I699" s="11"/>
      <c r="J699" s="11"/>
      <c r="K699" s="11"/>
      <c r="L699" s="15"/>
      <c r="M699" s="15"/>
      <c r="N699" s="15"/>
      <c r="O699" s="15"/>
      <c r="P699" s="15"/>
      <c r="Q699" s="11"/>
      <c r="R699" s="11"/>
      <c r="S699" s="11"/>
      <c r="T699" s="11"/>
      <c r="U699" s="15"/>
      <c r="V699" s="11"/>
      <c r="W699" s="11"/>
      <c r="X699" s="11"/>
      <c r="Y699" s="11"/>
      <c r="Z699" s="11"/>
    </row>
    <row r="700">
      <c r="A700" s="18"/>
      <c r="B700" s="11"/>
      <c r="C700" s="11"/>
      <c r="D700" s="11"/>
      <c r="E700" s="11"/>
      <c r="F700" s="11"/>
      <c r="G700" s="11"/>
      <c r="H700" s="11"/>
      <c r="I700" s="11"/>
      <c r="J700" s="11"/>
      <c r="K700" s="11"/>
      <c r="L700" s="15"/>
      <c r="M700" s="15"/>
      <c r="N700" s="15"/>
      <c r="O700" s="15"/>
      <c r="P700" s="15"/>
      <c r="Q700" s="11"/>
      <c r="R700" s="11"/>
      <c r="S700" s="11"/>
      <c r="T700" s="11"/>
      <c r="U700" s="15"/>
      <c r="V700" s="11"/>
      <c r="W700" s="11"/>
      <c r="X700" s="11"/>
      <c r="Y700" s="11"/>
      <c r="Z700" s="11"/>
    </row>
    <row r="701">
      <c r="A701" s="18"/>
      <c r="B701" s="11"/>
      <c r="C701" s="11"/>
      <c r="D701" s="11"/>
      <c r="E701" s="11"/>
      <c r="F701" s="11"/>
      <c r="G701" s="11"/>
      <c r="H701" s="11"/>
      <c r="I701" s="11"/>
      <c r="J701" s="11"/>
      <c r="K701" s="11"/>
      <c r="L701" s="15"/>
      <c r="M701" s="15"/>
      <c r="N701" s="15"/>
      <c r="O701" s="15"/>
      <c r="P701" s="15"/>
      <c r="Q701" s="11"/>
      <c r="R701" s="11"/>
      <c r="S701" s="11"/>
      <c r="T701" s="11"/>
      <c r="U701" s="15"/>
      <c r="V701" s="11"/>
      <c r="W701" s="11"/>
      <c r="X701" s="11"/>
      <c r="Y701" s="11"/>
      <c r="Z701" s="11"/>
    </row>
    <row r="702">
      <c r="A702" s="18"/>
      <c r="B702" s="11"/>
      <c r="C702" s="11"/>
      <c r="D702" s="11"/>
      <c r="E702" s="11"/>
      <c r="F702" s="11"/>
      <c r="G702" s="11"/>
      <c r="H702" s="11"/>
      <c r="I702" s="11"/>
      <c r="J702" s="11"/>
      <c r="K702" s="11"/>
      <c r="L702" s="15"/>
      <c r="M702" s="15"/>
      <c r="N702" s="15"/>
      <c r="O702" s="15"/>
      <c r="P702" s="15"/>
      <c r="Q702" s="11"/>
      <c r="R702" s="11"/>
      <c r="S702" s="11"/>
      <c r="T702" s="11"/>
      <c r="U702" s="15"/>
      <c r="V702" s="11"/>
      <c r="W702" s="11"/>
      <c r="X702" s="11"/>
      <c r="Y702" s="11"/>
      <c r="Z702" s="11"/>
    </row>
    <row r="703">
      <c r="A703" s="18"/>
      <c r="B703" s="11"/>
      <c r="C703" s="11"/>
      <c r="D703" s="11"/>
      <c r="E703" s="11"/>
      <c r="F703" s="11"/>
      <c r="G703" s="11"/>
      <c r="H703" s="11"/>
      <c r="I703" s="11"/>
      <c r="J703" s="11"/>
      <c r="K703" s="11"/>
      <c r="L703" s="15"/>
      <c r="M703" s="15"/>
      <c r="N703" s="15"/>
      <c r="O703" s="15"/>
      <c r="P703" s="15"/>
      <c r="Q703" s="11"/>
      <c r="R703" s="11"/>
      <c r="S703" s="11"/>
      <c r="T703" s="11"/>
      <c r="U703" s="15"/>
      <c r="V703" s="11"/>
      <c r="W703" s="11"/>
      <c r="X703" s="11"/>
      <c r="Y703" s="11"/>
      <c r="Z703" s="11"/>
    </row>
    <row r="704">
      <c r="A704" s="18"/>
      <c r="B704" s="11"/>
      <c r="C704" s="11"/>
      <c r="D704" s="11"/>
      <c r="E704" s="11"/>
      <c r="F704" s="11"/>
      <c r="G704" s="11"/>
      <c r="H704" s="11"/>
      <c r="I704" s="11"/>
      <c r="J704" s="11"/>
      <c r="K704" s="11"/>
      <c r="L704" s="15"/>
      <c r="M704" s="15"/>
      <c r="N704" s="15"/>
      <c r="O704" s="15"/>
      <c r="P704" s="15"/>
      <c r="Q704" s="11"/>
      <c r="R704" s="11"/>
      <c r="S704" s="11"/>
      <c r="T704" s="11"/>
      <c r="U704" s="15"/>
      <c r="V704" s="11"/>
      <c r="W704" s="11"/>
      <c r="X704" s="11"/>
      <c r="Y704" s="11"/>
      <c r="Z704" s="11"/>
    </row>
    <row r="705">
      <c r="A705" s="18"/>
      <c r="B705" s="11"/>
      <c r="C705" s="11"/>
      <c r="D705" s="11"/>
      <c r="E705" s="11"/>
      <c r="F705" s="11"/>
      <c r="G705" s="11"/>
      <c r="H705" s="11"/>
      <c r="I705" s="11"/>
      <c r="J705" s="11"/>
      <c r="K705" s="11"/>
      <c r="L705" s="15"/>
      <c r="M705" s="15"/>
      <c r="N705" s="15"/>
      <c r="O705" s="15"/>
      <c r="P705" s="15"/>
      <c r="Q705" s="11"/>
      <c r="R705" s="11"/>
      <c r="S705" s="11"/>
      <c r="T705" s="11"/>
      <c r="U705" s="15"/>
      <c r="V705" s="11"/>
      <c r="W705" s="11"/>
      <c r="X705" s="11"/>
      <c r="Y705" s="11"/>
      <c r="Z705" s="11"/>
    </row>
    <row r="706">
      <c r="A706" s="18"/>
      <c r="B706" s="11"/>
      <c r="C706" s="11"/>
      <c r="D706" s="11"/>
      <c r="E706" s="11"/>
      <c r="F706" s="11"/>
      <c r="G706" s="11"/>
      <c r="H706" s="11"/>
      <c r="I706" s="11"/>
      <c r="J706" s="11"/>
      <c r="K706" s="11"/>
      <c r="L706" s="15"/>
      <c r="M706" s="15"/>
      <c r="N706" s="15"/>
      <c r="O706" s="15"/>
      <c r="P706" s="15"/>
      <c r="Q706" s="11"/>
      <c r="R706" s="11"/>
      <c r="S706" s="11"/>
      <c r="T706" s="11"/>
      <c r="U706" s="15"/>
      <c r="V706" s="11"/>
      <c r="W706" s="11"/>
      <c r="X706" s="11"/>
      <c r="Y706" s="11"/>
      <c r="Z706" s="11"/>
    </row>
    <row r="707">
      <c r="A707" s="18"/>
      <c r="B707" s="11"/>
      <c r="C707" s="11"/>
      <c r="D707" s="11"/>
      <c r="E707" s="11"/>
      <c r="F707" s="11"/>
      <c r="G707" s="11"/>
      <c r="H707" s="11"/>
      <c r="I707" s="11"/>
      <c r="J707" s="11"/>
      <c r="K707" s="11"/>
      <c r="L707" s="15"/>
      <c r="M707" s="15"/>
      <c r="N707" s="15"/>
      <c r="O707" s="15"/>
      <c r="P707" s="15"/>
      <c r="Q707" s="11"/>
      <c r="R707" s="11"/>
      <c r="S707" s="11"/>
      <c r="T707" s="11"/>
      <c r="U707" s="15"/>
      <c r="V707" s="11"/>
      <c r="W707" s="11"/>
      <c r="X707" s="11"/>
      <c r="Y707" s="11"/>
      <c r="Z707" s="11"/>
    </row>
    <row r="708">
      <c r="A708" s="18"/>
      <c r="B708" s="11"/>
      <c r="C708" s="11"/>
      <c r="D708" s="11"/>
      <c r="E708" s="11"/>
      <c r="F708" s="11"/>
      <c r="G708" s="11"/>
      <c r="H708" s="11"/>
      <c r="I708" s="11"/>
      <c r="J708" s="11"/>
      <c r="K708" s="11"/>
      <c r="L708" s="15"/>
      <c r="M708" s="15"/>
      <c r="N708" s="15"/>
      <c r="O708" s="15"/>
      <c r="P708" s="15"/>
      <c r="Q708" s="11"/>
      <c r="R708" s="11"/>
      <c r="S708" s="11"/>
      <c r="T708" s="11"/>
      <c r="U708" s="15"/>
      <c r="V708" s="11"/>
      <c r="W708" s="11"/>
      <c r="X708" s="11"/>
      <c r="Y708" s="11"/>
      <c r="Z708" s="11"/>
    </row>
    <row r="709">
      <c r="A709" s="18"/>
      <c r="B709" s="11"/>
      <c r="C709" s="11"/>
      <c r="D709" s="11"/>
      <c r="E709" s="11"/>
      <c r="F709" s="11"/>
      <c r="G709" s="11"/>
      <c r="H709" s="11"/>
      <c r="I709" s="11"/>
      <c r="J709" s="11"/>
      <c r="K709" s="11"/>
      <c r="L709" s="15"/>
      <c r="M709" s="15"/>
      <c r="N709" s="15"/>
      <c r="O709" s="15"/>
      <c r="P709" s="15"/>
      <c r="Q709" s="11"/>
      <c r="R709" s="11"/>
      <c r="S709" s="11"/>
      <c r="T709" s="11"/>
      <c r="U709" s="15"/>
      <c r="V709" s="11"/>
      <c r="W709" s="11"/>
      <c r="X709" s="11"/>
      <c r="Y709" s="11"/>
      <c r="Z709" s="11"/>
    </row>
    <row r="710">
      <c r="A710" s="18"/>
      <c r="B710" s="11"/>
      <c r="C710" s="11"/>
      <c r="D710" s="11"/>
      <c r="E710" s="11"/>
      <c r="F710" s="11"/>
      <c r="G710" s="11"/>
      <c r="H710" s="11"/>
      <c r="I710" s="11"/>
      <c r="J710" s="11"/>
      <c r="K710" s="11"/>
      <c r="L710" s="15"/>
      <c r="M710" s="15"/>
      <c r="N710" s="15"/>
      <c r="O710" s="15"/>
      <c r="P710" s="15"/>
      <c r="Q710" s="11"/>
      <c r="R710" s="11"/>
      <c r="S710" s="11"/>
      <c r="T710" s="11"/>
      <c r="U710" s="15"/>
      <c r="V710" s="11"/>
      <c r="W710" s="11"/>
      <c r="X710" s="11"/>
      <c r="Y710" s="11"/>
      <c r="Z710" s="11"/>
    </row>
    <row r="711">
      <c r="A711" s="18"/>
      <c r="B711" s="11"/>
      <c r="C711" s="11"/>
      <c r="D711" s="11"/>
      <c r="E711" s="11"/>
      <c r="F711" s="11"/>
      <c r="G711" s="11"/>
      <c r="H711" s="11"/>
      <c r="I711" s="11"/>
      <c r="J711" s="11"/>
      <c r="K711" s="11"/>
      <c r="L711" s="15"/>
      <c r="M711" s="15"/>
      <c r="N711" s="15"/>
      <c r="O711" s="15"/>
      <c r="P711" s="15"/>
      <c r="Q711" s="11"/>
      <c r="R711" s="11"/>
      <c r="S711" s="11"/>
      <c r="T711" s="11"/>
      <c r="U711" s="15"/>
      <c r="V711" s="11"/>
      <c r="W711" s="11"/>
      <c r="X711" s="11"/>
      <c r="Y711" s="11"/>
      <c r="Z711" s="11"/>
    </row>
    <row r="712">
      <c r="A712" s="18"/>
      <c r="B712" s="11"/>
      <c r="C712" s="11"/>
      <c r="D712" s="11"/>
      <c r="E712" s="11"/>
      <c r="F712" s="11"/>
      <c r="G712" s="11"/>
      <c r="H712" s="11"/>
      <c r="I712" s="11"/>
      <c r="J712" s="11"/>
      <c r="K712" s="11"/>
      <c r="L712" s="15"/>
      <c r="M712" s="15"/>
      <c r="N712" s="15"/>
      <c r="O712" s="15"/>
      <c r="P712" s="15"/>
      <c r="Q712" s="11"/>
      <c r="R712" s="11"/>
      <c r="S712" s="11"/>
      <c r="T712" s="11"/>
      <c r="U712" s="15"/>
      <c r="V712" s="11"/>
      <c r="W712" s="11"/>
      <c r="X712" s="11"/>
      <c r="Y712" s="11"/>
      <c r="Z712" s="11"/>
    </row>
    <row r="713">
      <c r="A713" s="18"/>
      <c r="B713" s="11"/>
      <c r="C713" s="11"/>
      <c r="D713" s="11"/>
      <c r="E713" s="11"/>
      <c r="F713" s="11"/>
      <c r="G713" s="11"/>
      <c r="H713" s="11"/>
      <c r="I713" s="11"/>
      <c r="J713" s="11"/>
      <c r="K713" s="11"/>
      <c r="L713" s="15"/>
      <c r="M713" s="15"/>
      <c r="N713" s="15"/>
      <c r="O713" s="15"/>
      <c r="P713" s="15"/>
      <c r="Q713" s="11"/>
      <c r="R713" s="11"/>
      <c r="S713" s="11"/>
      <c r="T713" s="11"/>
      <c r="U713" s="15"/>
      <c r="V713" s="11"/>
      <c r="W713" s="11"/>
      <c r="X713" s="11"/>
      <c r="Y713" s="11"/>
      <c r="Z713" s="11"/>
    </row>
    <row r="714">
      <c r="A714" s="18"/>
      <c r="B714" s="11"/>
      <c r="C714" s="11"/>
      <c r="D714" s="11"/>
      <c r="E714" s="11"/>
      <c r="F714" s="11"/>
      <c r="G714" s="11"/>
      <c r="H714" s="11"/>
      <c r="I714" s="11"/>
      <c r="J714" s="11"/>
      <c r="K714" s="11"/>
      <c r="L714" s="15"/>
      <c r="M714" s="15"/>
      <c r="N714" s="15"/>
      <c r="O714" s="15"/>
      <c r="P714" s="15"/>
      <c r="Q714" s="11"/>
      <c r="R714" s="11"/>
      <c r="S714" s="11"/>
      <c r="T714" s="11"/>
      <c r="U714" s="15"/>
      <c r="V714" s="11"/>
      <c r="W714" s="11"/>
      <c r="X714" s="11"/>
      <c r="Y714" s="11"/>
      <c r="Z714" s="11"/>
    </row>
    <row r="715">
      <c r="A715" s="18"/>
      <c r="B715" s="11"/>
      <c r="C715" s="11"/>
      <c r="D715" s="11"/>
      <c r="E715" s="11"/>
      <c r="F715" s="11"/>
      <c r="G715" s="11"/>
      <c r="H715" s="11"/>
      <c r="I715" s="11"/>
      <c r="J715" s="11"/>
      <c r="K715" s="11"/>
      <c r="L715" s="15"/>
      <c r="M715" s="15"/>
      <c r="N715" s="15"/>
      <c r="O715" s="15"/>
      <c r="P715" s="15"/>
      <c r="Q715" s="11"/>
      <c r="R715" s="11"/>
      <c r="S715" s="11"/>
      <c r="T715" s="11"/>
      <c r="U715" s="15"/>
      <c r="V715" s="11"/>
      <c r="W715" s="11"/>
      <c r="X715" s="11"/>
      <c r="Y715" s="11"/>
      <c r="Z715" s="11"/>
    </row>
    <row r="716">
      <c r="A716" s="18"/>
      <c r="B716" s="11"/>
      <c r="C716" s="11"/>
      <c r="D716" s="11"/>
      <c r="E716" s="11"/>
      <c r="F716" s="11"/>
      <c r="G716" s="11"/>
      <c r="H716" s="11"/>
      <c r="I716" s="11"/>
      <c r="J716" s="11"/>
      <c r="K716" s="11"/>
      <c r="L716" s="15"/>
      <c r="M716" s="15"/>
      <c r="N716" s="15"/>
      <c r="O716" s="15"/>
      <c r="P716" s="15"/>
      <c r="Q716" s="11"/>
      <c r="R716" s="11"/>
      <c r="S716" s="11"/>
      <c r="T716" s="11"/>
      <c r="U716" s="15"/>
      <c r="V716" s="11"/>
      <c r="W716" s="11"/>
      <c r="X716" s="11"/>
      <c r="Y716" s="11"/>
      <c r="Z716" s="11"/>
    </row>
    <row r="717">
      <c r="A717" s="18"/>
      <c r="B717" s="11"/>
      <c r="C717" s="11"/>
      <c r="D717" s="11"/>
      <c r="E717" s="11"/>
      <c r="F717" s="11"/>
      <c r="G717" s="11"/>
      <c r="H717" s="11"/>
      <c r="I717" s="11"/>
      <c r="J717" s="11"/>
      <c r="K717" s="11"/>
      <c r="L717" s="15"/>
      <c r="M717" s="15"/>
      <c r="N717" s="15"/>
      <c r="O717" s="15"/>
      <c r="P717" s="15"/>
      <c r="Q717" s="11"/>
      <c r="R717" s="11"/>
      <c r="S717" s="11"/>
      <c r="T717" s="11"/>
      <c r="U717" s="15"/>
      <c r="V717" s="11"/>
      <c r="W717" s="11"/>
      <c r="X717" s="11"/>
      <c r="Y717" s="11"/>
      <c r="Z717" s="11"/>
    </row>
    <row r="718">
      <c r="A718" s="18"/>
      <c r="B718" s="11"/>
      <c r="C718" s="11"/>
      <c r="D718" s="11"/>
      <c r="E718" s="11"/>
      <c r="F718" s="11"/>
      <c r="G718" s="11"/>
      <c r="H718" s="11"/>
      <c r="I718" s="11"/>
      <c r="J718" s="11"/>
      <c r="K718" s="11"/>
      <c r="L718" s="15"/>
      <c r="M718" s="15"/>
      <c r="N718" s="15"/>
      <c r="O718" s="15"/>
      <c r="P718" s="15"/>
      <c r="Q718" s="11"/>
      <c r="R718" s="11"/>
      <c r="S718" s="11"/>
      <c r="T718" s="11"/>
      <c r="U718" s="15"/>
      <c r="V718" s="11"/>
      <c r="W718" s="11"/>
      <c r="X718" s="11"/>
      <c r="Y718" s="11"/>
      <c r="Z718" s="11"/>
    </row>
    <row r="719">
      <c r="A719" s="18"/>
      <c r="B719" s="11"/>
      <c r="C719" s="11"/>
      <c r="D719" s="11"/>
      <c r="E719" s="11"/>
      <c r="F719" s="11"/>
      <c r="G719" s="11"/>
      <c r="H719" s="11"/>
      <c r="I719" s="11"/>
      <c r="J719" s="11"/>
      <c r="K719" s="11"/>
      <c r="L719" s="15"/>
      <c r="M719" s="15"/>
      <c r="N719" s="15"/>
      <c r="O719" s="15"/>
      <c r="P719" s="15"/>
      <c r="Q719" s="11"/>
      <c r="R719" s="11"/>
      <c r="S719" s="11"/>
      <c r="T719" s="11"/>
      <c r="U719" s="15"/>
      <c r="V719" s="11"/>
      <c r="W719" s="11"/>
      <c r="X719" s="11"/>
      <c r="Y719" s="11"/>
      <c r="Z719" s="11"/>
    </row>
    <row r="720">
      <c r="A720" s="18"/>
      <c r="B720" s="11"/>
      <c r="C720" s="11"/>
      <c r="D720" s="11"/>
      <c r="E720" s="11"/>
      <c r="F720" s="11"/>
      <c r="G720" s="11"/>
      <c r="H720" s="11"/>
      <c r="I720" s="11"/>
      <c r="J720" s="11"/>
      <c r="K720" s="11"/>
      <c r="L720" s="15"/>
      <c r="M720" s="15"/>
      <c r="N720" s="15"/>
      <c r="O720" s="15"/>
      <c r="P720" s="15"/>
      <c r="Q720" s="11"/>
      <c r="R720" s="11"/>
      <c r="S720" s="11"/>
      <c r="T720" s="11"/>
      <c r="U720" s="15"/>
      <c r="V720" s="11"/>
      <c r="W720" s="11"/>
      <c r="X720" s="11"/>
      <c r="Y720" s="11"/>
      <c r="Z720" s="11"/>
    </row>
    <row r="721">
      <c r="A721" s="18"/>
      <c r="B721" s="11"/>
      <c r="C721" s="11"/>
      <c r="D721" s="11"/>
      <c r="E721" s="11"/>
      <c r="F721" s="11"/>
      <c r="G721" s="11"/>
      <c r="H721" s="11"/>
      <c r="I721" s="11"/>
      <c r="J721" s="11"/>
      <c r="K721" s="11"/>
      <c r="L721" s="15"/>
      <c r="M721" s="15"/>
      <c r="N721" s="15"/>
      <c r="O721" s="15"/>
      <c r="P721" s="15"/>
      <c r="Q721" s="11"/>
      <c r="R721" s="11"/>
      <c r="S721" s="11"/>
      <c r="T721" s="11"/>
      <c r="U721" s="15"/>
      <c r="V721" s="11"/>
      <c r="W721" s="11"/>
      <c r="X721" s="11"/>
      <c r="Y721" s="11"/>
      <c r="Z721" s="11"/>
    </row>
    <row r="722">
      <c r="A722" s="18"/>
      <c r="B722" s="11"/>
      <c r="C722" s="11"/>
      <c r="D722" s="11"/>
      <c r="E722" s="11"/>
      <c r="F722" s="11"/>
      <c r="G722" s="11"/>
      <c r="H722" s="11"/>
      <c r="I722" s="11"/>
      <c r="J722" s="11"/>
      <c r="K722" s="11"/>
      <c r="L722" s="15"/>
      <c r="M722" s="15"/>
      <c r="N722" s="15"/>
      <c r="O722" s="15"/>
      <c r="P722" s="15"/>
      <c r="Q722" s="11"/>
      <c r="R722" s="11"/>
      <c r="S722" s="11"/>
      <c r="T722" s="11"/>
      <c r="U722" s="15"/>
      <c r="V722" s="11"/>
      <c r="W722" s="11"/>
      <c r="X722" s="11"/>
      <c r="Y722" s="11"/>
      <c r="Z722" s="11"/>
    </row>
    <row r="723">
      <c r="A723" s="18"/>
      <c r="B723" s="11"/>
      <c r="C723" s="11"/>
      <c r="D723" s="11"/>
      <c r="E723" s="11"/>
      <c r="F723" s="11"/>
      <c r="G723" s="11"/>
      <c r="H723" s="11"/>
      <c r="I723" s="11"/>
      <c r="J723" s="11"/>
      <c r="K723" s="11"/>
      <c r="L723" s="15"/>
      <c r="M723" s="15"/>
      <c r="N723" s="15"/>
      <c r="O723" s="15"/>
      <c r="P723" s="15"/>
      <c r="Q723" s="11"/>
      <c r="R723" s="11"/>
      <c r="S723" s="11"/>
      <c r="T723" s="11"/>
      <c r="U723" s="15"/>
      <c r="V723" s="11"/>
      <c r="W723" s="11"/>
      <c r="X723" s="11"/>
      <c r="Y723" s="11"/>
      <c r="Z723" s="11"/>
    </row>
    <row r="724">
      <c r="A724" s="18"/>
      <c r="B724" s="11"/>
      <c r="C724" s="11"/>
      <c r="D724" s="11"/>
      <c r="E724" s="11"/>
      <c r="F724" s="11"/>
      <c r="G724" s="11"/>
      <c r="H724" s="11"/>
      <c r="I724" s="11"/>
      <c r="J724" s="11"/>
      <c r="K724" s="11"/>
      <c r="L724" s="15"/>
      <c r="M724" s="15"/>
      <c r="N724" s="15"/>
      <c r="O724" s="15"/>
      <c r="P724" s="15"/>
      <c r="Q724" s="11"/>
      <c r="R724" s="11"/>
      <c r="S724" s="11"/>
      <c r="T724" s="11"/>
      <c r="U724" s="15"/>
      <c r="V724" s="11"/>
      <c r="W724" s="11"/>
      <c r="X724" s="11"/>
      <c r="Y724" s="11"/>
      <c r="Z724" s="11"/>
    </row>
    <row r="725">
      <c r="A725" s="18"/>
      <c r="B725" s="11"/>
      <c r="C725" s="11"/>
      <c r="D725" s="11"/>
      <c r="E725" s="11"/>
      <c r="F725" s="11"/>
      <c r="G725" s="11"/>
      <c r="H725" s="11"/>
      <c r="I725" s="11"/>
      <c r="J725" s="11"/>
      <c r="K725" s="11"/>
      <c r="L725" s="15"/>
      <c r="M725" s="15"/>
      <c r="N725" s="15"/>
      <c r="O725" s="15"/>
      <c r="P725" s="15"/>
      <c r="Q725" s="11"/>
      <c r="R725" s="11"/>
      <c r="S725" s="11"/>
      <c r="T725" s="11"/>
      <c r="U725" s="15"/>
      <c r="V725" s="11"/>
      <c r="W725" s="11"/>
      <c r="X725" s="11"/>
      <c r="Y725" s="11"/>
      <c r="Z725" s="11"/>
    </row>
    <row r="726">
      <c r="A726" s="18"/>
      <c r="B726" s="11"/>
      <c r="C726" s="11"/>
      <c r="D726" s="11"/>
      <c r="E726" s="11"/>
      <c r="F726" s="11"/>
      <c r="G726" s="11"/>
      <c r="H726" s="11"/>
      <c r="I726" s="11"/>
      <c r="J726" s="11"/>
      <c r="K726" s="11"/>
      <c r="L726" s="15"/>
      <c r="M726" s="15"/>
      <c r="N726" s="15"/>
      <c r="O726" s="15"/>
      <c r="P726" s="15"/>
      <c r="Q726" s="11"/>
      <c r="R726" s="11"/>
      <c r="S726" s="11"/>
      <c r="T726" s="11"/>
      <c r="U726" s="15"/>
      <c r="V726" s="11"/>
      <c r="W726" s="11"/>
      <c r="X726" s="11"/>
      <c r="Y726" s="11"/>
      <c r="Z726" s="11"/>
    </row>
    <row r="727">
      <c r="A727" s="18"/>
      <c r="B727" s="11"/>
      <c r="C727" s="11"/>
      <c r="D727" s="11"/>
      <c r="E727" s="11"/>
      <c r="F727" s="11"/>
      <c r="G727" s="11"/>
      <c r="H727" s="11"/>
      <c r="I727" s="11"/>
      <c r="J727" s="11"/>
      <c r="K727" s="11"/>
      <c r="L727" s="15"/>
      <c r="M727" s="15"/>
      <c r="N727" s="15"/>
      <c r="O727" s="15"/>
      <c r="P727" s="15"/>
      <c r="Q727" s="11"/>
      <c r="R727" s="11"/>
      <c r="S727" s="11"/>
      <c r="T727" s="11"/>
      <c r="U727" s="15"/>
      <c r="V727" s="11"/>
      <c r="W727" s="11"/>
      <c r="X727" s="11"/>
      <c r="Y727" s="11"/>
      <c r="Z727" s="11"/>
    </row>
    <row r="728">
      <c r="A728" s="18"/>
      <c r="B728" s="11"/>
      <c r="C728" s="11"/>
      <c r="D728" s="11"/>
      <c r="E728" s="11"/>
      <c r="F728" s="11"/>
      <c r="G728" s="11"/>
      <c r="H728" s="11"/>
      <c r="I728" s="11"/>
      <c r="J728" s="11"/>
      <c r="K728" s="11"/>
      <c r="L728" s="15"/>
      <c r="M728" s="15"/>
      <c r="N728" s="15"/>
      <c r="O728" s="15"/>
      <c r="P728" s="15"/>
      <c r="Q728" s="11"/>
      <c r="R728" s="11"/>
      <c r="S728" s="11"/>
      <c r="T728" s="11"/>
      <c r="U728" s="15"/>
      <c r="V728" s="11"/>
      <c r="W728" s="11"/>
      <c r="X728" s="11"/>
      <c r="Y728" s="11"/>
      <c r="Z728" s="11"/>
    </row>
    <row r="729">
      <c r="A729" s="18"/>
      <c r="B729" s="11"/>
      <c r="C729" s="11"/>
      <c r="D729" s="11"/>
      <c r="E729" s="11"/>
      <c r="F729" s="11"/>
      <c r="G729" s="11"/>
      <c r="H729" s="11"/>
      <c r="I729" s="11"/>
      <c r="J729" s="11"/>
      <c r="K729" s="11"/>
      <c r="L729" s="15"/>
      <c r="M729" s="15"/>
      <c r="N729" s="15"/>
      <c r="O729" s="15"/>
      <c r="P729" s="15"/>
      <c r="Q729" s="11"/>
      <c r="R729" s="11"/>
      <c r="S729" s="11"/>
      <c r="T729" s="11"/>
      <c r="U729" s="15"/>
      <c r="V729" s="11"/>
      <c r="W729" s="11"/>
      <c r="X729" s="11"/>
      <c r="Y729" s="11"/>
      <c r="Z729" s="11"/>
    </row>
    <row r="730">
      <c r="A730" s="18"/>
      <c r="B730" s="11"/>
      <c r="C730" s="11"/>
      <c r="D730" s="11"/>
      <c r="E730" s="11"/>
      <c r="F730" s="11"/>
      <c r="G730" s="11"/>
      <c r="H730" s="11"/>
      <c r="I730" s="11"/>
      <c r="J730" s="11"/>
      <c r="K730" s="11"/>
      <c r="L730" s="15"/>
      <c r="M730" s="15"/>
      <c r="N730" s="15"/>
      <c r="O730" s="15"/>
      <c r="P730" s="15"/>
      <c r="Q730" s="11"/>
      <c r="R730" s="11"/>
      <c r="S730" s="11"/>
      <c r="T730" s="11"/>
      <c r="U730" s="15"/>
      <c r="V730" s="11"/>
      <c r="W730" s="11"/>
      <c r="X730" s="11"/>
      <c r="Y730" s="11"/>
      <c r="Z730" s="11"/>
    </row>
    <row r="731">
      <c r="A731" s="18"/>
      <c r="B731" s="11"/>
      <c r="C731" s="11"/>
      <c r="D731" s="11"/>
      <c r="E731" s="11"/>
      <c r="F731" s="11"/>
      <c r="G731" s="11"/>
      <c r="H731" s="11"/>
      <c r="I731" s="11"/>
      <c r="J731" s="11"/>
      <c r="K731" s="11"/>
      <c r="L731" s="15"/>
      <c r="M731" s="15"/>
      <c r="N731" s="15"/>
      <c r="O731" s="15"/>
      <c r="P731" s="15"/>
      <c r="Q731" s="11"/>
      <c r="R731" s="11"/>
      <c r="S731" s="11"/>
      <c r="T731" s="11"/>
      <c r="U731" s="15"/>
      <c r="V731" s="11"/>
      <c r="W731" s="11"/>
      <c r="X731" s="11"/>
      <c r="Y731" s="11"/>
      <c r="Z731" s="11"/>
    </row>
    <row r="732">
      <c r="A732" s="18"/>
      <c r="B732" s="11"/>
      <c r="C732" s="11"/>
      <c r="D732" s="11"/>
      <c r="E732" s="11"/>
      <c r="F732" s="11"/>
      <c r="G732" s="11"/>
      <c r="H732" s="11"/>
      <c r="I732" s="11"/>
      <c r="J732" s="11"/>
      <c r="K732" s="11"/>
      <c r="L732" s="15"/>
      <c r="M732" s="15"/>
      <c r="N732" s="15"/>
      <c r="O732" s="15"/>
      <c r="P732" s="15"/>
      <c r="Q732" s="11"/>
      <c r="R732" s="11"/>
      <c r="S732" s="11"/>
      <c r="T732" s="11"/>
      <c r="U732" s="15"/>
      <c r="V732" s="11"/>
      <c r="W732" s="11"/>
      <c r="X732" s="11"/>
      <c r="Y732" s="11"/>
      <c r="Z732" s="11"/>
    </row>
    <row r="733">
      <c r="A733" s="18"/>
      <c r="B733" s="11"/>
      <c r="C733" s="11"/>
      <c r="D733" s="11"/>
      <c r="E733" s="11"/>
      <c r="F733" s="11"/>
      <c r="G733" s="11"/>
      <c r="H733" s="11"/>
      <c r="I733" s="11"/>
      <c r="J733" s="11"/>
      <c r="K733" s="11"/>
      <c r="L733" s="15"/>
      <c r="M733" s="15"/>
      <c r="N733" s="15"/>
      <c r="O733" s="15"/>
      <c r="P733" s="15"/>
      <c r="Q733" s="11"/>
      <c r="R733" s="11"/>
      <c r="S733" s="11"/>
      <c r="T733" s="11"/>
      <c r="U733" s="15"/>
      <c r="V733" s="11"/>
      <c r="W733" s="11"/>
      <c r="X733" s="11"/>
      <c r="Y733" s="11"/>
      <c r="Z733" s="11"/>
    </row>
    <row r="734">
      <c r="A734" s="18"/>
      <c r="B734" s="11"/>
      <c r="C734" s="11"/>
      <c r="D734" s="11"/>
      <c r="E734" s="11"/>
      <c r="F734" s="11"/>
      <c r="G734" s="11"/>
      <c r="H734" s="11"/>
      <c r="I734" s="11"/>
      <c r="J734" s="11"/>
      <c r="K734" s="11"/>
      <c r="L734" s="15"/>
      <c r="M734" s="15"/>
      <c r="N734" s="15"/>
      <c r="O734" s="15"/>
      <c r="P734" s="15"/>
      <c r="Q734" s="11"/>
      <c r="R734" s="11"/>
      <c r="S734" s="11"/>
      <c r="T734" s="11"/>
      <c r="U734" s="15"/>
      <c r="V734" s="11"/>
      <c r="W734" s="11"/>
      <c r="X734" s="11"/>
      <c r="Y734" s="11"/>
      <c r="Z734" s="11"/>
    </row>
    <row r="735">
      <c r="A735" s="18"/>
      <c r="B735" s="11"/>
      <c r="C735" s="11"/>
      <c r="D735" s="11"/>
      <c r="E735" s="11"/>
      <c r="F735" s="11"/>
      <c r="G735" s="11"/>
      <c r="H735" s="11"/>
      <c r="I735" s="11"/>
      <c r="J735" s="11"/>
      <c r="K735" s="11"/>
      <c r="L735" s="15"/>
      <c r="M735" s="15"/>
      <c r="N735" s="15"/>
      <c r="O735" s="15"/>
      <c r="P735" s="15"/>
      <c r="Q735" s="11"/>
      <c r="R735" s="11"/>
      <c r="S735" s="11"/>
      <c r="T735" s="11"/>
      <c r="U735" s="15"/>
      <c r="V735" s="11"/>
      <c r="W735" s="11"/>
      <c r="X735" s="11"/>
      <c r="Y735" s="11"/>
      <c r="Z735" s="11"/>
    </row>
    <row r="736">
      <c r="A736" s="18"/>
      <c r="B736" s="11"/>
      <c r="C736" s="11"/>
      <c r="D736" s="11"/>
      <c r="E736" s="11"/>
      <c r="F736" s="11"/>
      <c r="G736" s="11"/>
      <c r="H736" s="11"/>
      <c r="I736" s="11"/>
      <c r="J736" s="11"/>
      <c r="K736" s="11"/>
      <c r="L736" s="15"/>
      <c r="M736" s="15"/>
      <c r="N736" s="15"/>
      <c r="O736" s="15"/>
      <c r="P736" s="15"/>
      <c r="Q736" s="11"/>
      <c r="R736" s="11"/>
      <c r="S736" s="11"/>
      <c r="T736" s="11"/>
      <c r="U736" s="15"/>
      <c r="V736" s="11"/>
      <c r="W736" s="11"/>
      <c r="X736" s="11"/>
      <c r="Y736" s="11"/>
      <c r="Z736" s="11"/>
    </row>
    <row r="737">
      <c r="A737" s="18"/>
      <c r="B737" s="11"/>
      <c r="C737" s="11"/>
      <c r="D737" s="11"/>
      <c r="E737" s="11"/>
      <c r="F737" s="11"/>
      <c r="G737" s="11"/>
      <c r="H737" s="11"/>
      <c r="I737" s="11"/>
      <c r="J737" s="11"/>
      <c r="K737" s="11"/>
      <c r="L737" s="15"/>
      <c r="M737" s="15"/>
      <c r="N737" s="15"/>
      <c r="O737" s="15"/>
      <c r="P737" s="15"/>
      <c r="Q737" s="11"/>
      <c r="R737" s="11"/>
      <c r="S737" s="11"/>
      <c r="T737" s="11"/>
      <c r="U737" s="15"/>
      <c r="V737" s="11"/>
      <c r="W737" s="11"/>
      <c r="X737" s="11"/>
      <c r="Y737" s="11"/>
      <c r="Z737" s="11"/>
    </row>
    <row r="738">
      <c r="A738" s="18"/>
      <c r="B738" s="11"/>
      <c r="C738" s="11"/>
      <c r="D738" s="11"/>
      <c r="E738" s="11"/>
      <c r="F738" s="11"/>
      <c r="G738" s="11"/>
      <c r="H738" s="11"/>
      <c r="I738" s="11"/>
      <c r="J738" s="11"/>
      <c r="K738" s="11"/>
      <c r="L738" s="15"/>
      <c r="M738" s="15"/>
      <c r="N738" s="15"/>
      <c r="O738" s="15"/>
      <c r="P738" s="15"/>
      <c r="Q738" s="11"/>
      <c r="R738" s="11"/>
      <c r="S738" s="11"/>
      <c r="T738" s="11"/>
      <c r="U738" s="15"/>
      <c r="V738" s="11"/>
      <c r="W738" s="11"/>
      <c r="X738" s="11"/>
      <c r="Y738" s="11"/>
      <c r="Z738" s="11"/>
    </row>
    <row r="739">
      <c r="A739" s="18"/>
      <c r="B739" s="11"/>
      <c r="C739" s="11"/>
      <c r="D739" s="11"/>
      <c r="E739" s="11"/>
      <c r="F739" s="11"/>
      <c r="G739" s="11"/>
      <c r="H739" s="11"/>
      <c r="I739" s="11"/>
      <c r="J739" s="11"/>
      <c r="K739" s="11"/>
      <c r="L739" s="15"/>
      <c r="M739" s="15"/>
      <c r="N739" s="15"/>
      <c r="O739" s="15"/>
      <c r="P739" s="15"/>
      <c r="Q739" s="11"/>
      <c r="R739" s="11"/>
      <c r="S739" s="11"/>
      <c r="T739" s="11"/>
      <c r="U739" s="15"/>
      <c r="V739" s="11"/>
      <c r="W739" s="11"/>
      <c r="X739" s="11"/>
      <c r="Y739" s="11"/>
      <c r="Z739" s="11"/>
    </row>
    <row r="740">
      <c r="A740" s="18"/>
      <c r="B740" s="11"/>
      <c r="C740" s="11"/>
      <c r="D740" s="11"/>
      <c r="E740" s="11"/>
      <c r="F740" s="11"/>
      <c r="G740" s="11"/>
      <c r="H740" s="11"/>
      <c r="I740" s="11"/>
      <c r="J740" s="11"/>
      <c r="K740" s="11"/>
      <c r="L740" s="15"/>
      <c r="M740" s="15"/>
      <c r="N740" s="15"/>
      <c r="O740" s="15"/>
      <c r="P740" s="15"/>
      <c r="Q740" s="11"/>
      <c r="R740" s="11"/>
      <c r="S740" s="11"/>
      <c r="T740" s="11"/>
      <c r="U740" s="15"/>
      <c r="V740" s="11"/>
      <c r="W740" s="11"/>
      <c r="X740" s="11"/>
      <c r="Y740" s="11"/>
      <c r="Z740" s="11"/>
    </row>
    <row r="741">
      <c r="A741" s="18"/>
      <c r="B741" s="11"/>
      <c r="C741" s="11"/>
      <c r="D741" s="11"/>
      <c r="E741" s="11"/>
      <c r="F741" s="11"/>
      <c r="G741" s="11"/>
      <c r="H741" s="11"/>
      <c r="I741" s="11"/>
      <c r="J741" s="11"/>
      <c r="K741" s="11"/>
      <c r="L741" s="15"/>
      <c r="M741" s="15"/>
      <c r="N741" s="15"/>
      <c r="O741" s="15"/>
      <c r="P741" s="15"/>
      <c r="Q741" s="11"/>
      <c r="R741" s="11"/>
      <c r="S741" s="11"/>
      <c r="T741" s="11"/>
      <c r="U741" s="15"/>
      <c r="V741" s="11"/>
      <c r="W741" s="11"/>
      <c r="X741" s="11"/>
      <c r="Y741" s="11"/>
      <c r="Z741" s="11"/>
    </row>
    <row r="742">
      <c r="A742" s="18"/>
      <c r="B742" s="11"/>
      <c r="C742" s="11"/>
      <c r="D742" s="11"/>
      <c r="E742" s="11"/>
      <c r="F742" s="11"/>
      <c r="G742" s="11"/>
      <c r="H742" s="11"/>
      <c r="I742" s="11"/>
      <c r="J742" s="11"/>
      <c r="K742" s="11"/>
      <c r="L742" s="15"/>
      <c r="M742" s="15"/>
      <c r="N742" s="15"/>
      <c r="O742" s="15"/>
      <c r="P742" s="15"/>
      <c r="Q742" s="11"/>
      <c r="R742" s="11"/>
      <c r="S742" s="11"/>
      <c r="T742" s="11"/>
      <c r="U742" s="15"/>
      <c r="V742" s="11"/>
      <c r="W742" s="11"/>
      <c r="X742" s="11"/>
      <c r="Y742" s="11"/>
      <c r="Z742" s="11"/>
    </row>
    <row r="743">
      <c r="A743" s="18"/>
      <c r="B743" s="11"/>
      <c r="C743" s="11"/>
      <c r="D743" s="11"/>
      <c r="E743" s="11"/>
      <c r="F743" s="11"/>
      <c r="G743" s="11"/>
      <c r="H743" s="11"/>
      <c r="I743" s="11"/>
      <c r="J743" s="11"/>
      <c r="K743" s="11"/>
      <c r="L743" s="15"/>
      <c r="M743" s="15"/>
      <c r="N743" s="15"/>
      <c r="O743" s="15"/>
      <c r="P743" s="15"/>
      <c r="Q743" s="11"/>
      <c r="R743" s="11"/>
      <c r="S743" s="11"/>
      <c r="T743" s="11"/>
      <c r="U743" s="15"/>
      <c r="V743" s="11"/>
      <c r="W743" s="11"/>
      <c r="X743" s="11"/>
      <c r="Y743" s="11"/>
      <c r="Z743" s="11"/>
    </row>
    <row r="744">
      <c r="A744" s="18"/>
      <c r="B744" s="11"/>
      <c r="C744" s="11"/>
      <c r="D744" s="11"/>
      <c r="E744" s="11"/>
      <c r="F744" s="11"/>
      <c r="G744" s="11"/>
      <c r="H744" s="11"/>
      <c r="I744" s="11"/>
      <c r="J744" s="11"/>
      <c r="K744" s="11"/>
      <c r="L744" s="15"/>
      <c r="M744" s="15"/>
      <c r="N744" s="15"/>
      <c r="O744" s="15"/>
      <c r="P744" s="15"/>
      <c r="Q744" s="11"/>
      <c r="R744" s="11"/>
      <c r="S744" s="11"/>
      <c r="T744" s="11"/>
      <c r="U744" s="15"/>
      <c r="V744" s="11"/>
      <c r="W744" s="11"/>
      <c r="X744" s="11"/>
      <c r="Y744" s="11"/>
      <c r="Z744" s="11"/>
    </row>
    <row r="745">
      <c r="A745" s="18"/>
      <c r="B745" s="11"/>
      <c r="C745" s="11"/>
      <c r="D745" s="11"/>
      <c r="E745" s="11"/>
      <c r="F745" s="11"/>
      <c r="G745" s="11"/>
      <c r="H745" s="11"/>
      <c r="I745" s="11"/>
      <c r="J745" s="11"/>
      <c r="K745" s="11"/>
      <c r="L745" s="15"/>
      <c r="M745" s="15"/>
      <c r="N745" s="15"/>
      <c r="O745" s="15"/>
      <c r="P745" s="15"/>
      <c r="Q745" s="11"/>
      <c r="R745" s="11"/>
      <c r="S745" s="11"/>
      <c r="T745" s="11"/>
      <c r="U745" s="15"/>
      <c r="V745" s="11"/>
      <c r="W745" s="11"/>
      <c r="X745" s="11"/>
      <c r="Y745" s="11"/>
      <c r="Z745" s="11"/>
    </row>
    <row r="746">
      <c r="A746" s="18"/>
      <c r="B746" s="11"/>
      <c r="C746" s="11"/>
      <c r="D746" s="11"/>
      <c r="E746" s="11"/>
      <c r="F746" s="11"/>
      <c r="G746" s="11"/>
      <c r="H746" s="11"/>
      <c r="I746" s="11"/>
      <c r="J746" s="11"/>
      <c r="K746" s="11"/>
      <c r="L746" s="15"/>
      <c r="M746" s="15"/>
      <c r="N746" s="15"/>
      <c r="O746" s="15"/>
      <c r="P746" s="15"/>
      <c r="Q746" s="11"/>
      <c r="R746" s="11"/>
      <c r="S746" s="11"/>
      <c r="T746" s="11"/>
      <c r="U746" s="15"/>
      <c r="V746" s="11"/>
      <c r="W746" s="11"/>
      <c r="X746" s="11"/>
      <c r="Y746" s="11"/>
      <c r="Z746" s="11"/>
    </row>
    <row r="747">
      <c r="A747" s="18"/>
      <c r="B747" s="11"/>
      <c r="C747" s="11"/>
      <c r="D747" s="11"/>
      <c r="E747" s="11"/>
      <c r="F747" s="11"/>
      <c r="G747" s="11"/>
      <c r="H747" s="11"/>
      <c r="I747" s="11"/>
      <c r="J747" s="11"/>
      <c r="K747" s="11"/>
      <c r="L747" s="15"/>
      <c r="M747" s="15"/>
      <c r="N747" s="15"/>
      <c r="O747" s="15"/>
      <c r="P747" s="15"/>
      <c r="Q747" s="11"/>
      <c r="R747" s="11"/>
      <c r="S747" s="11"/>
      <c r="T747" s="11"/>
      <c r="U747" s="15"/>
      <c r="V747" s="11"/>
      <c r="W747" s="11"/>
      <c r="X747" s="11"/>
      <c r="Y747" s="11"/>
      <c r="Z747" s="11"/>
    </row>
    <row r="748">
      <c r="A748" s="18"/>
      <c r="B748" s="11"/>
      <c r="C748" s="11"/>
      <c r="D748" s="11"/>
      <c r="E748" s="11"/>
      <c r="F748" s="11"/>
      <c r="G748" s="11"/>
      <c r="H748" s="11"/>
      <c r="I748" s="11"/>
      <c r="J748" s="11"/>
      <c r="K748" s="11"/>
      <c r="L748" s="15"/>
      <c r="M748" s="15"/>
      <c r="N748" s="15"/>
      <c r="O748" s="15"/>
      <c r="P748" s="15"/>
      <c r="Q748" s="11"/>
      <c r="R748" s="11"/>
      <c r="S748" s="11"/>
      <c r="T748" s="11"/>
      <c r="U748" s="15"/>
      <c r="V748" s="11"/>
      <c r="W748" s="11"/>
      <c r="X748" s="11"/>
      <c r="Y748" s="11"/>
      <c r="Z748" s="11"/>
    </row>
    <row r="749">
      <c r="A749" s="18"/>
      <c r="B749" s="11"/>
      <c r="C749" s="11"/>
      <c r="D749" s="11"/>
      <c r="E749" s="11"/>
      <c r="F749" s="11"/>
      <c r="G749" s="11"/>
      <c r="H749" s="11"/>
      <c r="I749" s="11"/>
      <c r="J749" s="11"/>
      <c r="K749" s="11"/>
      <c r="L749" s="15"/>
      <c r="M749" s="15"/>
      <c r="N749" s="15"/>
      <c r="O749" s="15"/>
      <c r="P749" s="15"/>
      <c r="Q749" s="11"/>
      <c r="R749" s="11"/>
      <c r="S749" s="11"/>
      <c r="T749" s="11"/>
      <c r="U749" s="15"/>
      <c r="V749" s="11"/>
      <c r="W749" s="11"/>
      <c r="X749" s="11"/>
      <c r="Y749" s="11"/>
      <c r="Z749" s="11"/>
    </row>
    <row r="750">
      <c r="A750" s="18"/>
      <c r="B750" s="11"/>
      <c r="C750" s="11"/>
      <c r="D750" s="11"/>
      <c r="E750" s="11"/>
      <c r="F750" s="11"/>
      <c r="G750" s="11"/>
      <c r="H750" s="11"/>
      <c r="I750" s="11"/>
      <c r="J750" s="11"/>
      <c r="K750" s="11"/>
      <c r="L750" s="15"/>
      <c r="M750" s="15"/>
      <c r="N750" s="15"/>
      <c r="O750" s="15"/>
      <c r="P750" s="15"/>
      <c r="Q750" s="11"/>
      <c r="R750" s="11"/>
      <c r="S750" s="11"/>
      <c r="T750" s="11"/>
      <c r="U750" s="15"/>
      <c r="V750" s="11"/>
      <c r="W750" s="11"/>
      <c r="X750" s="11"/>
      <c r="Y750" s="11"/>
      <c r="Z750" s="11"/>
    </row>
    <row r="751">
      <c r="A751" s="18"/>
      <c r="B751" s="11"/>
      <c r="C751" s="11"/>
      <c r="D751" s="11"/>
      <c r="E751" s="11"/>
      <c r="F751" s="11"/>
      <c r="G751" s="11"/>
      <c r="H751" s="11"/>
      <c r="I751" s="11"/>
      <c r="J751" s="11"/>
      <c r="K751" s="11"/>
      <c r="L751" s="15"/>
      <c r="M751" s="15"/>
      <c r="N751" s="15"/>
      <c r="O751" s="15"/>
      <c r="P751" s="15"/>
      <c r="Q751" s="11"/>
      <c r="R751" s="11"/>
      <c r="S751" s="11"/>
      <c r="T751" s="11"/>
      <c r="U751" s="15"/>
      <c r="V751" s="11"/>
      <c r="W751" s="11"/>
      <c r="X751" s="11"/>
      <c r="Y751" s="11"/>
      <c r="Z751" s="11"/>
    </row>
    <row r="752">
      <c r="A752" s="18"/>
      <c r="B752" s="11"/>
      <c r="C752" s="11"/>
      <c r="D752" s="11"/>
      <c r="E752" s="11"/>
      <c r="F752" s="11"/>
      <c r="G752" s="11"/>
      <c r="H752" s="11"/>
      <c r="I752" s="11"/>
      <c r="J752" s="11"/>
      <c r="K752" s="11"/>
      <c r="L752" s="15"/>
      <c r="M752" s="15"/>
      <c r="N752" s="15"/>
      <c r="O752" s="15"/>
      <c r="P752" s="15"/>
      <c r="Q752" s="11"/>
      <c r="R752" s="11"/>
      <c r="S752" s="11"/>
      <c r="T752" s="11"/>
      <c r="U752" s="15"/>
      <c r="V752" s="11"/>
      <c r="W752" s="11"/>
      <c r="X752" s="11"/>
      <c r="Y752" s="11"/>
      <c r="Z752" s="11"/>
    </row>
    <row r="753">
      <c r="A753" s="18"/>
      <c r="B753" s="11"/>
      <c r="C753" s="11"/>
      <c r="D753" s="11"/>
      <c r="E753" s="11"/>
      <c r="F753" s="11"/>
      <c r="G753" s="11"/>
      <c r="H753" s="11"/>
      <c r="I753" s="11"/>
      <c r="J753" s="11"/>
      <c r="K753" s="11"/>
      <c r="L753" s="15"/>
      <c r="M753" s="15"/>
      <c r="N753" s="15"/>
      <c r="O753" s="15"/>
      <c r="P753" s="15"/>
      <c r="Q753" s="11"/>
      <c r="R753" s="11"/>
      <c r="S753" s="11"/>
      <c r="T753" s="11"/>
      <c r="U753" s="15"/>
      <c r="V753" s="11"/>
      <c r="W753" s="11"/>
      <c r="X753" s="11"/>
      <c r="Y753" s="11"/>
      <c r="Z753" s="11"/>
    </row>
    <row r="754">
      <c r="A754" s="18"/>
      <c r="B754" s="11"/>
      <c r="C754" s="11"/>
      <c r="D754" s="11"/>
      <c r="E754" s="11"/>
      <c r="F754" s="11"/>
      <c r="G754" s="11"/>
      <c r="H754" s="11"/>
      <c r="I754" s="11"/>
      <c r="J754" s="11"/>
      <c r="K754" s="11"/>
      <c r="L754" s="15"/>
      <c r="M754" s="15"/>
      <c r="N754" s="15"/>
      <c r="O754" s="15"/>
      <c r="P754" s="15"/>
      <c r="Q754" s="11"/>
      <c r="R754" s="11"/>
      <c r="S754" s="11"/>
      <c r="T754" s="11"/>
      <c r="U754" s="15"/>
      <c r="V754" s="11"/>
      <c r="W754" s="11"/>
      <c r="X754" s="11"/>
      <c r="Y754" s="11"/>
      <c r="Z754" s="11"/>
    </row>
    <row r="755">
      <c r="A755" s="18"/>
      <c r="B755" s="11"/>
      <c r="C755" s="11"/>
      <c r="D755" s="11"/>
      <c r="E755" s="11"/>
      <c r="F755" s="11"/>
      <c r="G755" s="11"/>
      <c r="H755" s="11"/>
      <c r="I755" s="11"/>
      <c r="J755" s="11"/>
      <c r="K755" s="11"/>
      <c r="L755" s="15"/>
      <c r="M755" s="15"/>
      <c r="N755" s="15"/>
      <c r="O755" s="15"/>
      <c r="P755" s="15"/>
      <c r="Q755" s="11"/>
      <c r="R755" s="11"/>
      <c r="S755" s="11"/>
      <c r="T755" s="11"/>
      <c r="U755" s="15"/>
      <c r="V755" s="11"/>
      <c r="W755" s="11"/>
      <c r="X755" s="11"/>
      <c r="Y755" s="11"/>
      <c r="Z755" s="11"/>
    </row>
    <row r="756">
      <c r="A756" s="18"/>
      <c r="B756" s="11"/>
      <c r="C756" s="11"/>
      <c r="D756" s="11"/>
      <c r="E756" s="11"/>
      <c r="F756" s="11"/>
      <c r="G756" s="11"/>
      <c r="H756" s="11"/>
      <c r="I756" s="11"/>
      <c r="J756" s="11"/>
      <c r="K756" s="11"/>
      <c r="L756" s="15"/>
      <c r="M756" s="15"/>
      <c r="N756" s="15"/>
      <c r="O756" s="15"/>
      <c r="P756" s="15"/>
      <c r="Q756" s="11"/>
      <c r="R756" s="11"/>
      <c r="S756" s="11"/>
      <c r="T756" s="11"/>
      <c r="U756" s="15"/>
      <c r="V756" s="11"/>
      <c r="W756" s="11"/>
      <c r="X756" s="11"/>
      <c r="Y756" s="11"/>
      <c r="Z756" s="11"/>
    </row>
    <row r="757">
      <c r="A757" s="18"/>
      <c r="B757" s="11"/>
      <c r="C757" s="11"/>
      <c r="D757" s="11"/>
      <c r="E757" s="11"/>
      <c r="F757" s="11"/>
      <c r="G757" s="11"/>
      <c r="H757" s="11"/>
      <c r="I757" s="11"/>
      <c r="J757" s="11"/>
      <c r="K757" s="11"/>
      <c r="L757" s="15"/>
      <c r="M757" s="15"/>
      <c r="N757" s="15"/>
      <c r="O757" s="15"/>
      <c r="P757" s="15"/>
      <c r="Q757" s="11"/>
      <c r="R757" s="11"/>
      <c r="S757" s="11"/>
      <c r="T757" s="11"/>
      <c r="U757" s="15"/>
      <c r="V757" s="11"/>
      <c r="W757" s="11"/>
      <c r="X757" s="11"/>
      <c r="Y757" s="11"/>
      <c r="Z757" s="11"/>
    </row>
    <row r="758">
      <c r="A758" s="18"/>
      <c r="B758" s="11"/>
      <c r="C758" s="11"/>
      <c r="D758" s="11"/>
      <c r="E758" s="11"/>
      <c r="F758" s="11"/>
      <c r="G758" s="11"/>
      <c r="H758" s="11"/>
      <c r="I758" s="11"/>
      <c r="J758" s="11"/>
      <c r="K758" s="11"/>
      <c r="L758" s="15"/>
      <c r="M758" s="15"/>
      <c r="N758" s="15"/>
      <c r="O758" s="15"/>
      <c r="P758" s="15"/>
      <c r="Q758" s="11"/>
      <c r="R758" s="11"/>
      <c r="S758" s="11"/>
      <c r="T758" s="11"/>
      <c r="U758" s="15"/>
      <c r="V758" s="11"/>
      <c r="W758" s="11"/>
      <c r="X758" s="11"/>
      <c r="Y758" s="11"/>
      <c r="Z758" s="11"/>
    </row>
    <row r="759">
      <c r="A759" s="18"/>
      <c r="B759" s="11"/>
      <c r="C759" s="11"/>
      <c r="D759" s="11"/>
      <c r="E759" s="11"/>
      <c r="F759" s="11"/>
      <c r="G759" s="11"/>
      <c r="H759" s="11"/>
      <c r="I759" s="11"/>
      <c r="J759" s="11"/>
      <c r="K759" s="11"/>
      <c r="L759" s="15"/>
      <c r="M759" s="15"/>
      <c r="N759" s="15"/>
      <c r="O759" s="15"/>
      <c r="P759" s="15"/>
      <c r="Q759" s="11"/>
      <c r="R759" s="11"/>
      <c r="S759" s="11"/>
      <c r="T759" s="11"/>
      <c r="U759" s="15"/>
      <c r="V759" s="11"/>
      <c r="W759" s="11"/>
      <c r="X759" s="11"/>
      <c r="Y759" s="11"/>
      <c r="Z759" s="11"/>
    </row>
    <row r="760">
      <c r="A760" s="18"/>
      <c r="B760" s="11"/>
      <c r="C760" s="11"/>
      <c r="D760" s="11"/>
      <c r="E760" s="11"/>
      <c r="F760" s="11"/>
      <c r="G760" s="11"/>
      <c r="H760" s="11"/>
      <c r="I760" s="11"/>
      <c r="J760" s="11"/>
      <c r="K760" s="11"/>
      <c r="L760" s="15"/>
      <c r="M760" s="15"/>
      <c r="N760" s="15"/>
      <c r="O760" s="15"/>
      <c r="P760" s="15"/>
      <c r="Q760" s="11"/>
      <c r="R760" s="11"/>
      <c r="S760" s="11"/>
      <c r="T760" s="11"/>
      <c r="U760" s="15"/>
      <c r="V760" s="11"/>
      <c r="W760" s="11"/>
      <c r="X760" s="11"/>
      <c r="Y760" s="11"/>
      <c r="Z760" s="11"/>
    </row>
    <row r="761">
      <c r="A761" s="18"/>
      <c r="B761" s="11"/>
      <c r="C761" s="11"/>
      <c r="D761" s="11"/>
      <c r="E761" s="11"/>
      <c r="F761" s="11"/>
      <c r="G761" s="11"/>
      <c r="H761" s="11"/>
      <c r="I761" s="11"/>
      <c r="J761" s="11"/>
      <c r="K761" s="11"/>
      <c r="L761" s="15"/>
      <c r="M761" s="15"/>
      <c r="N761" s="15"/>
      <c r="O761" s="15"/>
      <c r="P761" s="15"/>
      <c r="Q761" s="11"/>
      <c r="R761" s="11"/>
      <c r="S761" s="11"/>
      <c r="T761" s="11"/>
      <c r="U761" s="15"/>
      <c r="V761" s="11"/>
      <c r="W761" s="11"/>
      <c r="X761" s="11"/>
      <c r="Y761" s="11"/>
      <c r="Z761" s="11"/>
    </row>
    <row r="762">
      <c r="A762" s="18"/>
      <c r="B762" s="11"/>
      <c r="C762" s="11"/>
      <c r="D762" s="11"/>
      <c r="E762" s="11"/>
      <c r="F762" s="11"/>
      <c r="G762" s="11"/>
      <c r="H762" s="11"/>
      <c r="I762" s="11"/>
      <c r="J762" s="11"/>
      <c r="K762" s="11"/>
      <c r="L762" s="15"/>
      <c r="M762" s="15"/>
      <c r="N762" s="15"/>
      <c r="O762" s="15"/>
      <c r="P762" s="15"/>
      <c r="Q762" s="11"/>
      <c r="R762" s="11"/>
      <c r="S762" s="11"/>
      <c r="T762" s="11"/>
      <c r="U762" s="15"/>
      <c r="V762" s="11"/>
      <c r="W762" s="11"/>
      <c r="X762" s="11"/>
      <c r="Y762" s="11"/>
      <c r="Z762" s="11"/>
    </row>
    <row r="763">
      <c r="A763" s="18"/>
      <c r="B763" s="11"/>
      <c r="C763" s="11"/>
      <c r="D763" s="11"/>
      <c r="E763" s="11"/>
      <c r="F763" s="11"/>
      <c r="G763" s="11"/>
      <c r="H763" s="11"/>
      <c r="I763" s="11"/>
      <c r="J763" s="11"/>
      <c r="K763" s="11"/>
      <c r="L763" s="15"/>
      <c r="M763" s="15"/>
      <c r="N763" s="15"/>
      <c r="O763" s="15"/>
      <c r="P763" s="15"/>
      <c r="Q763" s="11"/>
      <c r="R763" s="11"/>
      <c r="S763" s="11"/>
      <c r="T763" s="11"/>
      <c r="U763" s="15"/>
      <c r="V763" s="11"/>
      <c r="W763" s="11"/>
      <c r="X763" s="11"/>
      <c r="Y763" s="11"/>
      <c r="Z763" s="11"/>
    </row>
    <row r="764">
      <c r="A764" s="18"/>
      <c r="B764" s="11"/>
      <c r="C764" s="11"/>
      <c r="D764" s="11"/>
      <c r="E764" s="11"/>
      <c r="F764" s="11"/>
      <c r="G764" s="11"/>
      <c r="H764" s="11"/>
      <c r="I764" s="11"/>
      <c r="J764" s="11"/>
      <c r="K764" s="11"/>
      <c r="L764" s="15"/>
      <c r="M764" s="15"/>
      <c r="N764" s="15"/>
      <c r="O764" s="15"/>
      <c r="P764" s="15"/>
      <c r="Q764" s="11"/>
      <c r="R764" s="11"/>
      <c r="S764" s="11"/>
      <c r="T764" s="11"/>
      <c r="U764" s="15"/>
      <c r="V764" s="11"/>
      <c r="W764" s="11"/>
      <c r="X764" s="11"/>
      <c r="Y764" s="11"/>
      <c r="Z764" s="11"/>
    </row>
    <row r="765">
      <c r="A765" s="18"/>
      <c r="B765" s="11"/>
      <c r="C765" s="11"/>
      <c r="D765" s="11"/>
      <c r="E765" s="11"/>
      <c r="F765" s="11"/>
      <c r="G765" s="11"/>
      <c r="H765" s="11"/>
      <c r="I765" s="11"/>
      <c r="J765" s="11"/>
      <c r="K765" s="11"/>
      <c r="L765" s="15"/>
      <c r="M765" s="15"/>
      <c r="N765" s="15"/>
      <c r="O765" s="15"/>
      <c r="P765" s="15"/>
      <c r="Q765" s="11"/>
      <c r="R765" s="11"/>
      <c r="S765" s="11"/>
      <c r="T765" s="11"/>
      <c r="U765" s="15"/>
      <c r="V765" s="11"/>
      <c r="W765" s="11"/>
      <c r="X765" s="11"/>
      <c r="Y765" s="11"/>
      <c r="Z765" s="11"/>
    </row>
    <row r="766">
      <c r="A766" s="18"/>
      <c r="B766" s="11"/>
      <c r="C766" s="11"/>
      <c r="D766" s="11"/>
      <c r="E766" s="11"/>
      <c r="F766" s="11"/>
      <c r="G766" s="11"/>
      <c r="H766" s="11"/>
      <c r="I766" s="11"/>
      <c r="J766" s="11"/>
      <c r="K766" s="11"/>
      <c r="L766" s="15"/>
      <c r="M766" s="15"/>
      <c r="N766" s="15"/>
      <c r="O766" s="15"/>
      <c r="P766" s="15"/>
      <c r="Q766" s="11"/>
      <c r="R766" s="11"/>
      <c r="S766" s="11"/>
      <c r="T766" s="11"/>
      <c r="U766" s="15"/>
      <c r="V766" s="11"/>
      <c r="W766" s="11"/>
      <c r="X766" s="11"/>
      <c r="Y766" s="11"/>
      <c r="Z766" s="11"/>
    </row>
    <row r="767">
      <c r="A767" s="18"/>
      <c r="B767" s="11"/>
      <c r="C767" s="11"/>
      <c r="D767" s="11"/>
      <c r="E767" s="11"/>
      <c r="F767" s="11"/>
      <c r="G767" s="11"/>
      <c r="H767" s="11"/>
      <c r="I767" s="11"/>
      <c r="J767" s="11"/>
      <c r="K767" s="11"/>
      <c r="L767" s="15"/>
      <c r="M767" s="15"/>
      <c r="N767" s="15"/>
      <c r="O767" s="15"/>
      <c r="P767" s="15"/>
      <c r="Q767" s="11"/>
      <c r="R767" s="11"/>
      <c r="S767" s="11"/>
      <c r="T767" s="11"/>
      <c r="U767" s="15"/>
      <c r="V767" s="11"/>
      <c r="W767" s="11"/>
      <c r="X767" s="11"/>
      <c r="Y767" s="11"/>
      <c r="Z767" s="11"/>
    </row>
    <row r="768">
      <c r="A768" s="18"/>
      <c r="B768" s="11"/>
      <c r="C768" s="11"/>
      <c r="D768" s="11"/>
      <c r="E768" s="11"/>
      <c r="F768" s="11"/>
      <c r="G768" s="11"/>
      <c r="H768" s="11"/>
      <c r="I768" s="11"/>
      <c r="J768" s="11"/>
      <c r="K768" s="11"/>
      <c r="L768" s="15"/>
      <c r="M768" s="15"/>
      <c r="N768" s="15"/>
      <c r="O768" s="15"/>
      <c r="P768" s="15"/>
      <c r="Q768" s="11"/>
      <c r="R768" s="11"/>
      <c r="S768" s="11"/>
      <c r="T768" s="11"/>
      <c r="U768" s="15"/>
      <c r="V768" s="11"/>
      <c r="W768" s="11"/>
      <c r="X768" s="11"/>
      <c r="Y768" s="11"/>
      <c r="Z768" s="11"/>
    </row>
    <row r="769">
      <c r="A769" s="18"/>
      <c r="B769" s="11"/>
      <c r="C769" s="11"/>
      <c r="D769" s="11"/>
      <c r="E769" s="11"/>
      <c r="F769" s="11"/>
      <c r="G769" s="11"/>
      <c r="H769" s="11"/>
      <c r="I769" s="11"/>
      <c r="J769" s="11"/>
      <c r="K769" s="11"/>
      <c r="L769" s="15"/>
      <c r="M769" s="15"/>
      <c r="N769" s="15"/>
      <c r="O769" s="15"/>
      <c r="P769" s="15"/>
      <c r="Q769" s="11"/>
      <c r="R769" s="11"/>
      <c r="S769" s="11"/>
      <c r="T769" s="11"/>
      <c r="U769" s="15"/>
      <c r="V769" s="11"/>
      <c r="W769" s="11"/>
      <c r="X769" s="11"/>
      <c r="Y769" s="11"/>
      <c r="Z769" s="11"/>
    </row>
    <row r="770">
      <c r="A770" s="18"/>
      <c r="B770" s="11"/>
      <c r="C770" s="11"/>
      <c r="D770" s="11"/>
      <c r="E770" s="11"/>
      <c r="F770" s="11"/>
      <c r="G770" s="11"/>
      <c r="H770" s="11"/>
      <c r="I770" s="11"/>
      <c r="J770" s="11"/>
      <c r="K770" s="11"/>
      <c r="L770" s="15"/>
      <c r="M770" s="15"/>
      <c r="N770" s="15"/>
      <c r="O770" s="15"/>
      <c r="P770" s="15"/>
      <c r="Q770" s="11"/>
      <c r="R770" s="11"/>
      <c r="S770" s="11"/>
      <c r="T770" s="11"/>
      <c r="U770" s="15"/>
      <c r="V770" s="11"/>
      <c r="W770" s="11"/>
      <c r="X770" s="11"/>
      <c r="Y770" s="11"/>
      <c r="Z770" s="11"/>
    </row>
    <row r="771">
      <c r="A771" s="18"/>
      <c r="B771" s="11"/>
      <c r="C771" s="11"/>
      <c r="D771" s="11"/>
      <c r="E771" s="11"/>
      <c r="F771" s="11"/>
      <c r="G771" s="11"/>
      <c r="H771" s="11"/>
      <c r="I771" s="11"/>
      <c r="J771" s="11"/>
      <c r="K771" s="11"/>
      <c r="L771" s="15"/>
      <c r="M771" s="15"/>
      <c r="N771" s="15"/>
      <c r="O771" s="15"/>
      <c r="P771" s="15"/>
      <c r="Q771" s="11"/>
      <c r="R771" s="11"/>
      <c r="S771" s="11"/>
      <c r="T771" s="11"/>
      <c r="U771" s="15"/>
      <c r="V771" s="11"/>
      <c r="W771" s="11"/>
      <c r="X771" s="11"/>
      <c r="Y771" s="11"/>
      <c r="Z771" s="11"/>
    </row>
    <row r="772">
      <c r="A772" s="18"/>
      <c r="B772" s="11"/>
      <c r="C772" s="11"/>
      <c r="D772" s="11"/>
      <c r="E772" s="11"/>
      <c r="F772" s="11"/>
      <c r="G772" s="11"/>
      <c r="H772" s="11"/>
      <c r="I772" s="11"/>
      <c r="J772" s="11"/>
      <c r="K772" s="11"/>
      <c r="L772" s="15"/>
      <c r="M772" s="15"/>
      <c r="N772" s="15"/>
      <c r="O772" s="15"/>
      <c r="P772" s="15"/>
      <c r="Q772" s="11"/>
      <c r="R772" s="11"/>
      <c r="S772" s="11"/>
      <c r="T772" s="11"/>
      <c r="U772" s="15"/>
      <c r="V772" s="11"/>
      <c r="W772" s="11"/>
      <c r="X772" s="11"/>
      <c r="Y772" s="11"/>
      <c r="Z772" s="11"/>
    </row>
    <row r="773">
      <c r="A773" s="18"/>
      <c r="B773" s="11"/>
      <c r="C773" s="11"/>
      <c r="D773" s="11"/>
      <c r="E773" s="11"/>
      <c r="F773" s="11"/>
      <c r="G773" s="11"/>
      <c r="H773" s="11"/>
      <c r="I773" s="11"/>
      <c r="J773" s="11"/>
      <c r="K773" s="11"/>
      <c r="L773" s="15"/>
      <c r="M773" s="15"/>
      <c r="N773" s="15"/>
      <c r="O773" s="15"/>
      <c r="P773" s="15"/>
      <c r="Q773" s="11"/>
      <c r="R773" s="11"/>
      <c r="S773" s="11"/>
      <c r="T773" s="11"/>
      <c r="U773" s="15"/>
      <c r="V773" s="11"/>
      <c r="W773" s="11"/>
      <c r="X773" s="11"/>
      <c r="Y773" s="11"/>
      <c r="Z773" s="11"/>
    </row>
    <row r="774">
      <c r="A774" s="18"/>
      <c r="B774" s="11"/>
      <c r="C774" s="11"/>
      <c r="D774" s="11"/>
      <c r="E774" s="11"/>
      <c r="F774" s="11"/>
      <c r="G774" s="11"/>
      <c r="H774" s="11"/>
      <c r="I774" s="11"/>
      <c r="J774" s="11"/>
      <c r="K774" s="11"/>
      <c r="L774" s="15"/>
      <c r="M774" s="15"/>
      <c r="N774" s="15"/>
      <c r="O774" s="15"/>
      <c r="P774" s="15"/>
      <c r="Q774" s="11"/>
      <c r="R774" s="11"/>
      <c r="S774" s="11"/>
      <c r="T774" s="11"/>
      <c r="U774" s="15"/>
      <c r="V774" s="11"/>
      <c r="W774" s="11"/>
      <c r="X774" s="11"/>
      <c r="Y774" s="11"/>
      <c r="Z774" s="11"/>
    </row>
    <row r="775">
      <c r="A775" s="18"/>
      <c r="B775" s="11"/>
      <c r="C775" s="11"/>
      <c r="D775" s="11"/>
      <c r="E775" s="11"/>
      <c r="F775" s="11"/>
      <c r="G775" s="11"/>
      <c r="H775" s="11"/>
      <c r="I775" s="11"/>
      <c r="J775" s="11"/>
      <c r="K775" s="11"/>
      <c r="L775" s="15"/>
      <c r="M775" s="15"/>
      <c r="N775" s="15"/>
      <c r="O775" s="15"/>
      <c r="P775" s="15"/>
      <c r="Q775" s="11"/>
      <c r="R775" s="11"/>
      <c r="S775" s="11"/>
      <c r="T775" s="11"/>
      <c r="U775" s="15"/>
      <c r="V775" s="11"/>
      <c r="W775" s="11"/>
      <c r="X775" s="11"/>
      <c r="Y775" s="11"/>
      <c r="Z775" s="11"/>
    </row>
    <row r="776">
      <c r="A776" s="18"/>
      <c r="B776" s="11"/>
      <c r="C776" s="11"/>
      <c r="D776" s="11"/>
      <c r="E776" s="11"/>
      <c r="F776" s="11"/>
      <c r="G776" s="11"/>
      <c r="H776" s="11"/>
      <c r="I776" s="11"/>
      <c r="J776" s="11"/>
      <c r="K776" s="11"/>
      <c r="L776" s="15"/>
      <c r="M776" s="15"/>
      <c r="N776" s="15"/>
      <c r="O776" s="15"/>
      <c r="P776" s="15"/>
      <c r="Q776" s="11"/>
      <c r="R776" s="11"/>
      <c r="S776" s="11"/>
      <c r="T776" s="11"/>
      <c r="U776" s="15"/>
      <c r="V776" s="11"/>
      <c r="W776" s="11"/>
      <c r="X776" s="11"/>
      <c r="Y776" s="11"/>
      <c r="Z776" s="11"/>
    </row>
    <row r="777">
      <c r="A777" s="18"/>
      <c r="B777" s="11"/>
      <c r="C777" s="11"/>
      <c r="D777" s="11"/>
      <c r="E777" s="11"/>
      <c r="F777" s="11"/>
      <c r="G777" s="11"/>
      <c r="H777" s="11"/>
      <c r="I777" s="11"/>
      <c r="J777" s="11"/>
      <c r="K777" s="11"/>
      <c r="L777" s="15"/>
      <c r="M777" s="15"/>
      <c r="N777" s="15"/>
      <c r="O777" s="15"/>
      <c r="P777" s="15"/>
      <c r="Q777" s="11"/>
      <c r="R777" s="11"/>
      <c r="S777" s="11"/>
      <c r="T777" s="11"/>
      <c r="U777" s="15"/>
      <c r="V777" s="11"/>
      <c r="W777" s="11"/>
      <c r="X777" s="11"/>
      <c r="Y777" s="11"/>
      <c r="Z777" s="11"/>
    </row>
    <row r="778">
      <c r="A778" s="18"/>
      <c r="B778" s="11"/>
      <c r="C778" s="11"/>
      <c r="D778" s="11"/>
      <c r="E778" s="11"/>
      <c r="F778" s="11"/>
      <c r="G778" s="11"/>
      <c r="H778" s="11"/>
      <c r="I778" s="11"/>
      <c r="J778" s="11"/>
      <c r="K778" s="11"/>
      <c r="L778" s="15"/>
      <c r="M778" s="15"/>
      <c r="N778" s="15"/>
      <c r="O778" s="15"/>
      <c r="P778" s="15"/>
      <c r="Q778" s="11"/>
      <c r="R778" s="11"/>
      <c r="S778" s="11"/>
      <c r="T778" s="11"/>
      <c r="U778" s="15"/>
      <c r="V778" s="11"/>
      <c r="W778" s="11"/>
      <c r="X778" s="11"/>
      <c r="Y778" s="11"/>
      <c r="Z778" s="11"/>
    </row>
    <row r="779">
      <c r="A779" s="18"/>
      <c r="B779" s="11"/>
      <c r="C779" s="11"/>
      <c r="D779" s="11"/>
      <c r="E779" s="11"/>
      <c r="F779" s="11"/>
      <c r="G779" s="11"/>
      <c r="H779" s="11"/>
      <c r="I779" s="11"/>
      <c r="J779" s="11"/>
      <c r="K779" s="11"/>
      <c r="L779" s="15"/>
      <c r="M779" s="15"/>
      <c r="N779" s="15"/>
      <c r="O779" s="15"/>
      <c r="P779" s="15"/>
      <c r="Q779" s="11"/>
      <c r="R779" s="11"/>
      <c r="S779" s="11"/>
      <c r="T779" s="11"/>
      <c r="U779" s="15"/>
      <c r="V779" s="11"/>
      <c r="W779" s="11"/>
      <c r="X779" s="11"/>
      <c r="Y779" s="11"/>
      <c r="Z779" s="11"/>
    </row>
    <row r="780">
      <c r="A780" s="18"/>
      <c r="B780" s="11"/>
      <c r="C780" s="11"/>
      <c r="D780" s="11"/>
      <c r="E780" s="11"/>
      <c r="F780" s="11"/>
      <c r="G780" s="11"/>
      <c r="H780" s="11"/>
      <c r="I780" s="11"/>
      <c r="J780" s="11"/>
      <c r="K780" s="11"/>
      <c r="L780" s="15"/>
      <c r="M780" s="15"/>
      <c r="N780" s="15"/>
      <c r="O780" s="15"/>
      <c r="P780" s="15"/>
      <c r="Q780" s="11"/>
      <c r="R780" s="11"/>
      <c r="S780" s="11"/>
      <c r="T780" s="11"/>
      <c r="U780" s="15"/>
      <c r="V780" s="11"/>
      <c r="W780" s="11"/>
      <c r="X780" s="11"/>
      <c r="Y780" s="11"/>
      <c r="Z780" s="11"/>
    </row>
    <row r="781">
      <c r="A781" s="18"/>
      <c r="B781" s="11"/>
      <c r="C781" s="11"/>
      <c r="D781" s="11"/>
      <c r="E781" s="11"/>
      <c r="F781" s="11"/>
      <c r="G781" s="11"/>
      <c r="H781" s="11"/>
      <c r="I781" s="11"/>
      <c r="J781" s="11"/>
      <c r="K781" s="11"/>
      <c r="L781" s="15"/>
      <c r="M781" s="15"/>
      <c r="N781" s="15"/>
      <c r="O781" s="15"/>
      <c r="P781" s="15"/>
      <c r="Q781" s="11"/>
      <c r="R781" s="11"/>
      <c r="S781" s="11"/>
      <c r="T781" s="11"/>
      <c r="U781" s="15"/>
      <c r="V781" s="11"/>
      <c r="W781" s="11"/>
      <c r="X781" s="11"/>
      <c r="Y781" s="11"/>
      <c r="Z781" s="11"/>
    </row>
    <row r="782">
      <c r="A782" s="18"/>
      <c r="B782" s="11"/>
      <c r="C782" s="11"/>
      <c r="D782" s="11"/>
      <c r="E782" s="11"/>
      <c r="F782" s="11"/>
      <c r="G782" s="11"/>
      <c r="H782" s="11"/>
      <c r="I782" s="11"/>
      <c r="J782" s="11"/>
      <c r="K782" s="11"/>
      <c r="L782" s="15"/>
      <c r="M782" s="15"/>
      <c r="N782" s="15"/>
      <c r="O782" s="15"/>
      <c r="P782" s="15"/>
      <c r="Q782" s="11"/>
      <c r="R782" s="11"/>
      <c r="S782" s="11"/>
      <c r="T782" s="11"/>
      <c r="U782" s="15"/>
      <c r="V782" s="11"/>
      <c r="W782" s="11"/>
      <c r="X782" s="11"/>
      <c r="Y782" s="11"/>
      <c r="Z782" s="11"/>
    </row>
    <row r="783">
      <c r="A783" s="18"/>
      <c r="B783" s="11"/>
      <c r="C783" s="11"/>
      <c r="D783" s="11"/>
      <c r="E783" s="11"/>
      <c r="F783" s="11"/>
      <c r="G783" s="11"/>
      <c r="H783" s="11"/>
      <c r="I783" s="11"/>
      <c r="J783" s="11"/>
      <c r="K783" s="11"/>
      <c r="L783" s="15"/>
      <c r="M783" s="15"/>
      <c r="N783" s="15"/>
      <c r="O783" s="15"/>
      <c r="P783" s="15"/>
      <c r="Q783" s="11"/>
      <c r="R783" s="11"/>
      <c r="S783" s="11"/>
      <c r="T783" s="11"/>
      <c r="U783" s="15"/>
      <c r="V783" s="11"/>
      <c r="W783" s="11"/>
      <c r="X783" s="11"/>
      <c r="Y783" s="11"/>
      <c r="Z783" s="11"/>
    </row>
    <row r="784">
      <c r="A784" s="18"/>
      <c r="B784" s="11"/>
      <c r="C784" s="11"/>
      <c r="D784" s="11"/>
      <c r="E784" s="11"/>
      <c r="F784" s="11"/>
      <c r="G784" s="11"/>
      <c r="H784" s="11"/>
      <c r="I784" s="11"/>
      <c r="J784" s="11"/>
      <c r="K784" s="11"/>
      <c r="L784" s="15"/>
      <c r="M784" s="15"/>
      <c r="N784" s="15"/>
      <c r="O784" s="15"/>
      <c r="P784" s="15"/>
      <c r="Q784" s="11"/>
      <c r="R784" s="11"/>
      <c r="S784" s="11"/>
      <c r="T784" s="11"/>
      <c r="U784" s="15"/>
      <c r="V784" s="11"/>
      <c r="W784" s="11"/>
      <c r="X784" s="11"/>
      <c r="Y784" s="11"/>
      <c r="Z784" s="11"/>
    </row>
    <row r="785">
      <c r="A785" s="18"/>
      <c r="B785" s="11"/>
      <c r="C785" s="11"/>
      <c r="D785" s="11"/>
      <c r="E785" s="11"/>
      <c r="F785" s="11"/>
      <c r="G785" s="11"/>
      <c r="H785" s="11"/>
      <c r="I785" s="11"/>
      <c r="J785" s="11"/>
      <c r="K785" s="11"/>
      <c r="L785" s="15"/>
      <c r="M785" s="15"/>
      <c r="N785" s="15"/>
      <c r="O785" s="15"/>
      <c r="P785" s="15"/>
      <c r="Q785" s="11"/>
      <c r="R785" s="11"/>
      <c r="S785" s="11"/>
      <c r="T785" s="11"/>
      <c r="U785" s="15"/>
      <c r="V785" s="11"/>
      <c r="W785" s="11"/>
      <c r="X785" s="11"/>
      <c r="Y785" s="11"/>
      <c r="Z785" s="11"/>
    </row>
    <row r="786">
      <c r="A786" s="18"/>
      <c r="B786" s="11"/>
      <c r="C786" s="11"/>
      <c r="D786" s="11"/>
      <c r="E786" s="11"/>
      <c r="F786" s="11"/>
      <c r="G786" s="11"/>
      <c r="H786" s="11"/>
      <c r="I786" s="11"/>
      <c r="J786" s="11"/>
      <c r="K786" s="11"/>
      <c r="L786" s="15"/>
      <c r="M786" s="15"/>
      <c r="N786" s="15"/>
      <c r="O786" s="15"/>
      <c r="P786" s="15"/>
      <c r="Q786" s="11"/>
      <c r="R786" s="11"/>
      <c r="S786" s="11"/>
      <c r="T786" s="11"/>
      <c r="U786" s="15"/>
      <c r="V786" s="11"/>
      <c r="W786" s="11"/>
      <c r="X786" s="11"/>
      <c r="Y786" s="11"/>
      <c r="Z786" s="11"/>
    </row>
    <row r="787">
      <c r="A787" s="18"/>
      <c r="B787" s="11"/>
      <c r="C787" s="11"/>
      <c r="D787" s="11"/>
      <c r="E787" s="11"/>
      <c r="F787" s="11"/>
      <c r="G787" s="11"/>
      <c r="H787" s="11"/>
      <c r="I787" s="11"/>
      <c r="J787" s="11"/>
      <c r="K787" s="11"/>
      <c r="L787" s="15"/>
      <c r="M787" s="15"/>
      <c r="N787" s="15"/>
      <c r="O787" s="15"/>
      <c r="P787" s="15"/>
      <c r="Q787" s="11"/>
      <c r="R787" s="11"/>
      <c r="S787" s="11"/>
      <c r="T787" s="11"/>
      <c r="U787" s="15"/>
      <c r="V787" s="11"/>
      <c r="W787" s="11"/>
      <c r="X787" s="11"/>
      <c r="Y787" s="11"/>
      <c r="Z787" s="11"/>
    </row>
    <row r="788">
      <c r="A788" s="18"/>
      <c r="B788" s="11"/>
      <c r="C788" s="11"/>
      <c r="D788" s="11"/>
      <c r="E788" s="11"/>
      <c r="F788" s="11"/>
      <c r="G788" s="11"/>
      <c r="H788" s="11"/>
      <c r="I788" s="11"/>
      <c r="J788" s="11"/>
      <c r="K788" s="11"/>
      <c r="L788" s="15"/>
      <c r="M788" s="15"/>
      <c r="N788" s="15"/>
      <c r="O788" s="15"/>
      <c r="P788" s="15"/>
      <c r="Q788" s="11"/>
      <c r="R788" s="11"/>
      <c r="S788" s="11"/>
      <c r="T788" s="11"/>
      <c r="U788" s="15"/>
      <c r="V788" s="11"/>
      <c r="W788" s="11"/>
      <c r="X788" s="11"/>
      <c r="Y788" s="11"/>
      <c r="Z788" s="11"/>
    </row>
    <row r="789">
      <c r="A789" s="18"/>
      <c r="B789" s="11"/>
      <c r="C789" s="11"/>
      <c r="D789" s="11"/>
      <c r="E789" s="11"/>
      <c r="F789" s="11"/>
      <c r="G789" s="11"/>
      <c r="H789" s="11"/>
      <c r="I789" s="11"/>
      <c r="J789" s="11"/>
      <c r="K789" s="11"/>
      <c r="L789" s="15"/>
      <c r="M789" s="15"/>
      <c r="N789" s="15"/>
      <c r="O789" s="15"/>
      <c r="P789" s="15"/>
      <c r="Q789" s="11"/>
      <c r="R789" s="11"/>
      <c r="S789" s="11"/>
      <c r="T789" s="11"/>
      <c r="U789" s="15"/>
      <c r="V789" s="11"/>
      <c r="W789" s="11"/>
      <c r="X789" s="11"/>
      <c r="Y789" s="11"/>
      <c r="Z789" s="11"/>
    </row>
    <row r="790">
      <c r="A790" s="18"/>
      <c r="B790" s="11"/>
      <c r="C790" s="11"/>
      <c r="D790" s="11"/>
      <c r="E790" s="11"/>
      <c r="F790" s="11"/>
      <c r="G790" s="11"/>
      <c r="H790" s="11"/>
      <c r="I790" s="11"/>
      <c r="J790" s="11"/>
      <c r="K790" s="11"/>
      <c r="L790" s="15"/>
      <c r="M790" s="15"/>
      <c r="N790" s="15"/>
      <c r="O790" s="15"/>
      <c r="P790" s="15"/>
      <c r="Q790" s="11"/>
      <c r="R790" s="11"/>
      <c r="S790" s="11"/>
      <c r="T790" s="11"/>
      <c r="U790" s="15"/>
      <c r="V790" s="11"/>
      <c r="W790" s="11"/>
      <c r="X790" s="11"/>
      <c r="Y790" s="11"/>
      <c r="Z790" s="11"/>
    </row>
    <row r="791">
      <c r="A791" s="18"/>
      <c r="B791" s="11"/>
      <c r="C791" s="11"/>
      <c r="D791" s="11"/>
      <c r="E791" s="11"/>
      <c r="F791" s="11"/>
      <c r="G791" s="11"/>
      <c r="H791" s="11"/>
      <c r="I791" s="11"/>
      <c r="J791" s="11"/>
      <c r="K791" s="11"/>
      <c r="L791" s="15"/>
      <c r="M791" s="15"/>
      <c r="N791" s="15"/>
      <c r="O791" s="15"/>
      <c r="P791" s="15"/>
      <c r="Q791" s="11"/>
      <c r="R791" s="11"/>
      <c r="S791" s="11"/>
      <c r="T791" s="11"/>
      <c r="U791" s="15"/>
      <c r="V791" s="11"/>
      <c r="W791" s="11"/>
      <c r="X791" s="11"/>
      <c r="Y791" s="11"/>
      <c r="Z791" s="11"/>
    </row>
    <row r="792">
      <c r="A792" s="18"/>
      <c r="B792" s="11"/>
      <c r="C792" s="11"/>
      <c r="D792" s="11"/>
      <c r="E792" s="11"/>
      <c r="F792" s="11"/>
      <c r="G792" s="11"/>
      <c r="H792" s="11"/>
      <c r="I792" s="11"/>
      <c r="J792" s="11"/>
      <c r="K792" s="11"/>
      <c r="L792" s="15"/>
      <c r="M792" s="15"/>
      <c r="N792" s="15"/>
      <c r="O792" s="15"/>
      <c r="P792" s="15"/>
      <c r="Q792" s="11"/>
      <c r="R792" s="11"/>
      <c r="S792" s="11"/>
      <c r="T792" s="11"/>
      <c r="U792" s="15"/>
      <c r="V792" s="11"/>
      <c r="W792" s="11"/>
      <c r="X792" s="11"/>
      <c r="Y792" s="11"/>
      <c r="Z792" s="11"/>
    </row>
    <row r="793">
      <c r="A793" s="18"/>
      <c r="B793" s="11"/>
      <c r="C793" s="11"/>
      <c r="D793" s="11"/>
      <c r="E793" s="11"/>
      <c r="F793" s="11"/>
      <c r="G793" s="11"/>
      <c r="H793" s="11"/>
      <c r="I793" s="11"/>
      <c r="J793" s="11"/>
      <c r="K793" s="11"/>
      <c r="L793" s="15"/>
      <c r="M793" s="15"/>
      <c r="N793" s="15"/>
      <c r="O793" s="15"/>
      <c r="P793" s="15"/>
      <c r="Q793" s="11"/>
      <c r="R793" s="11"/>
      <c r="S793" s="11"/>
      <c r="T793" s="11"/>
      <c r="U793" s="15"/>
      <c r="V793" s="11"/>
      <c r="W793" s="11"/>
      <c r="X793" s="11"/>
      <c r="Y793" s="11"/>
      <c r="Z793" s="11"/>
    </row>
    <row r="794">
      <c r="A794" s="18"/>
      <c r="B794" s="11"/>
      <c r="C794" s="11"/>
      <c r="D794" s="11"/>
      <c r="E794" s="11"/>
      <c r="F794" s="11"/>
      <c r="G794" s="11"/>
      <c r="H794" s="11"/>
      <c r="I794" s="11"/>
      <c r="J794" s="11"/>
      <c r="K794" s="11"/>
      <c r="L794" s="15"/>
      <c r="M794" s="15"/>
      <c r="N794" s="15"/>
      <c r="O794" s="15"/>
      <c r="P794" s="15"/>
      <c r="Q794" s="11"/>
      <c r="R794" s="11"/>
      <c r="S794" s="11"/>
      <c r="T794" s="11"/>
      <c r="U794" s="15"/>
      <c r="V794" s="11"/>
      <c r="W794" s="11"/>
      <c r="X794" s="11"/>
      <c r="Y794" s="11"/>
      <c r="Z794" s="11"/>
    </row>
    <row r="795">
      <c r="A795" s="18"/>
      <c r="B795" s="11"/>
      <c r="C795" s="11"/>
      <c r="D795" s="11"/>
      <c r="E795" s="11"/>
      <c r="F795" s="11"/>
      <c r="G795" s="11"/>
      <c r="H795" s="11"/>
      <c r="I795" s="11"/>
      <c r="J795" s="11"/>
      <c r="K795" s="11"/>
      <c r="L795" s="15"/>
      <c r="M795" s="15"/>
      <c r="N795" s="15"/>
      <c r="O795" s="15"/>
      <c r="P795" s="15"/>
      <c r="Q795" s="11"/>
      <c r="R795" s="11"/>
      <c r="S795" s="11"/>
      <c r="T795" s="11"/>
      <c r="U795" s="15"/>
      <c r="V795" s="11"/>
      <c r="W795" s="11"/>
      <c r="X795" s="11"/>
      <c r="Y795" s="11"/>
      <c r="Z795" s="11"/>
    </row>
    <row r="796">
      <c r="A796" s="18"/>
      <c r="B796" s="11"/>
      <c r="C796" s="11"/>
      <c r="D796" s="11"/>
      <c r="E796" s="11"/>
      <c r="F796" s="11"/>
      <c r="G796" s="11"/>
      <c r="H796" s="11"/>
      <c r="I796" s="11"/>
      <c r="J796" s="11"/>
      <c r="K796" s="11"/>
      <c r="L796" s="15"/>
      <c r="M796" s="15"/>
      <c r="N796" s="15"/>
      <c r="O796" s="15"/>
      <c r="P796" s="15"/>
      <c r="Q796" s="11"/>
      <c r="R796" s="11"/>
      <c r="S796" s="11"/>
      <c r="T796" s="11"/>
      <c r="U796" s="15"/>
      <c r="V796" s="11"/>
      <c r="W796" s="11"/>
      <c r="X796" s="11"/>
      <c r="Y796" s="11"/>
      <c r="Z796" s="11"/>
    </row>
    <row r="797">
      <c r="A797" s="18"/>
      <c r="B797" s="11"/>
      <c r="C797" s="11"/>
      <c r="D797" s="11"/>
      <c r="E797" s="11"/>
      <c r="F797" s="11"/>
      <c r="G797" s="11"/>
      <c r="H797" s="11"/>
      <c r="I797" s="11"/>
      <c r="J797" s="11"/>
      <c r="K797" s="11"/>
      <c r="L797" s="15"/>
      <c r="M797" s="15"/>
      <c r="N797" s="15"/>
      <c r="O797" s="15"/>
      <c r="P797" s="15"/>
      <c r="Q797" s="11"/>
      <c r="R797" s="11"/>
      <c r="S797" s="11"/>
      <c r="T797" s="11"/>
      <c r="U797" s="15"/>
      <c r="V797" s="11"/>
      <c r="W797" s="11"/>
      <c r="X797" s="11"/>
      <c r="Y797" s="11"/>
      <c r="Z797" s="11"/>
    </row>
    <row r="798">
      <c r="A798" s="18"/>
      <c r="B798" s="11"/>
      <c r="C798" s="11"/>
      <c r="D798" s="11"/>
      <c r="E798" s="11"/>
      <c r="F798" s="11"/>
      <c r="G798" s="11"/>
      <c r="H798" s="11"/>
      <c r="I798" s="11"/>
      <c r="J798" s="11"/>
      <c r="K798" s="11"/>
      <c r="L798" s="15"/>
      <c r="M798" s="15"/>
      <c r="N798" s="15"/>
      <c r="O798" s="15"/>
      <c r="P798" s="15"/>
      <c r="Q798" s="11"/>
      <c r="R798" s="11"/>
      <c r="S798" s="11"/>
      <c r="T798" s="11"/>
      <c r="U798" s="15"/>
      <c r="V798" s="11"/>
      <c r="W798" s="11"/>
      <c r="X798" s="11"/>
      <c r="Y798" s="11"/>
      <c r="Z798" s="11"/>
    </row>
    <row r="799">
      <c r="A799" s="18"/>
      <c r="B799" s="11"/>
      <c r="C799" s="11"/>
      <c r="D799" s="11"/>
      <c r="E799" s="11"/>
      <c r="F799" s="11"/>
      <c r="G799" s="11"/>
      <c r="H799" s="11"/>
      <c r="I799" s="11"/>
      <c r="J799" s="11"/>
      <c r="K799" s="11"/>
      <c r="L799" s="15"/>
      <c r="M799" s="15"/>
      <c r="N799" s="15"/>
      <c r="O799" s="15"/>
      <c r="P799" s="15"/>
      <c r="Q799" s="11"/>
      <c r="R799" s="11"/>
      <c r="S799" s="11"/>
      <c r="T799" s="11"/>
      <c r="U799" s="15"/>
      <c r="V799" s="11"/>
      <c r="W799" s="11"/>
      <c r="X799" s="11"/>
      <c r="Y799" s="11"/>
      <c r="Z799" s="11"/>
    </row>
    <row r="800">
      <c r="A800" s="18"/>
      <c r="B800" s="11"/>
      <c r="C800" s="11"/>
      <c r="D800" s="11"/>
      <c r="E800" s="11"/>
      <c r="F800" s="11"/>
      <c r="G800" s="11"/>
      <c r="H800" s="11"/>
      <c r="I800" s="11"/>
      <c r="J800" s="11"/>
      <c r="K800" s="11"/>
      <c r="L800" s="15"/>
      <c r="M800" s="15"/>
      <c r="N800" s="15"/>
      <c r="O800" s="15"/>
      <c r="P800" s="15"/>
      <c r="Q800" s="11"/>
      <c r="R800" s="11"/>
      <c r="S800" s="11"/>
      <c r="T800" s="11"/>
      <c r="U800" s="15"/>
      <c r="V800" s="11"/>
      <c r="W800" s="11"/>
      <c r="X800" s="11"/>
      <c r="Y800" s="11"/>
      <c r="Z800" s="11"/>
    </row>
    <row r="801">
      <c r="A801" s="18"/>
      <c r="B801" s="11"/>
      <c r="C801" s="11"/>
      <c r="D801" s="11"/>
      <c r="E801" s="11"/>
      <c r="F801" s="11"/>
      <c r="G801" s="11"/>
      <c r="H801" s="11"/>
      <c r="I801" s="11"/>
      <c r="J801" s="11"/>
      <c r="K801" s="11"/>
      <c r="L801" s="15"/>
      <c r="M801" s="15"/>
      <c r="N801" s="15"/>
      <c r="O801" s="15"/>
      <c r="P801" s="15"/>
      <c r="Q801" s="11"/>
      <c r="R801" s="11"/>
      <c r="S801" s="11"/>
      <c r="T801" s="11"/>
      <c r="U801" s="15"/>
      <c r="V801" s="11"/>
      <c r="W801" s="11"/>
      <c r="X801" s="11"/>
      <c r="Y801" s="11"/>
      <c r="Z801" s="11"/>
    </row>
    <row r="802">
      <c r="A802" s="18"/>
      <c r="B802" s="11"/>
      <c r="C802" s="11"/>
      <c r="D802" s="11"/>
      <c r="E802" s="11"/>
      <c r="F802" s="11"/>
      <c r="G802" s="11"/>
      <c r="H802" s="11"/>
      <c r="I802" s="11"/>
      <c r="J802" s="11"/>
      <c r="K802" s="11"/>
      <c r="L802" s="15"/>
      <c r="M802" s="15"/>
      <c r="N802" s="15"/>
      <c r="O802" s="15"/>
      <c r="P802" s="15"/>
      <c r="Q802" s="11"/>
      <c r="R802" s="11"/>
      <c r="S802" s="11"/>
      <c r="T802" s="11"/>
      <c r="U802" s="15"/>
      <c r="V802" s="11"/>
      <c r="W802" s="11"/>
      <c r="X802" s="11"/>
      <c r="Y802" s="11"/>
      <c r="Z802" s="11"/>
    </row>
    <row r="803">
      <c r="A803" s="18"/>
      <c r="B803" s="11"/>
      <c r="C803" s="11"/>
      <c r="D803" s="11"/>
      <c r="E803" s="11"/>
      <c r="F803" s="11"/>
      <c r="G803" s="11"/>
      <c r="H803" s="11"/>
      <c r="I803" s="11"/>
      <c r="J803" s="11"/>
      <c r="K803" s="11"/>
      <c r="L803" s="15"/>
      <c r="M803" s="15"/>
      <c r="N803" s="15"/>
      <c r="O803" s="15"/>
      <c r="P803" s="15"/>
      <c r="Q803" s="11"/>
      <c r="R803" s="11"/>
      <c r="S803" s="11"/>
      <c r="T803" s="11"/>
      <c r="U803" s="15"/>
      <c r="V803" s="11"/>
      <c r="W803" s="11"/>
      <c r="X803" s="11"/>
      <c r="Y803" s="11"/>
      <c r="Z803" s="11"/>
    </row>
    <row r="804">
      <c r="A804" s="18"/>
      <c r="B804" s="11"/>
      <c r="C804" s="11"/>
      <c r="D804" s="11"/>
      <c r="E804" s="11"/>
      <c r="F804" s="11"/>
      <c r="G804" s="11"/>
      <c r="H804" s="11"/>
      <c r="I804" s="11"/>
      <c r="J804" s="11"/>
      <c r="K804" s="11"/>
      <c r="L804" s="15"/>
      <c r="M804" s="15"/>
      <c r="N804" s="15"/>
      <c r="O804" s="15"/>
      <c r="P804" s="15"/>
      <c r="Q804" s="11"/>
      <c r="R804" s="11"/>
      <c r="S804" s="11"/>
      <c r="T804" s="11"/>
      <c r="U804" s="15"/>
      <c r="V804" s="11"/>
      <c r="W804" s="11"/>
      <c r="X804" s="11"/>
      <c r="Y804" s="11"/>
      <c r="Z804" s="11"/>
    </row>
    <row r="805">
      <c r="A805" s="18"/>
      <c r="B805" s="11"/>
      <c r="C805" s="11"/>
      <c r="D805" s="11"/>
      <c r="E805" s="11"/>
      <c r="F805" s="11"/>
      <c r="G805" s="11"/>
      <c r="H805" s="11"/>
      <c r="I805" s="11"/>
      <c r="J805" s="11"/>
      <c r="K805" s="11"/>
      <c r="L805" s="15"/>
      <c r="M805" s="15"/>
      <c r="N805" s="15"/>
      <c r="O805" s="15"/>
      <c r="P805" s="15"/>
      <c r="Q805" s="11"/>
      <c r="R805" s="11"/>
      <c r="S805" s="11"/>
      <c r="T805" s="11"/>
      <c r="U805" s="15"/>
      <c r="V805" s="11"/>
      <c r="W805" s="11"/>
      <c r="X805" s="11"/>
      <c r="Y805" s="11"/>
      <c r="Z805" s="11"/>
    </row>
    <row r="806">
      <c r="A806" s="18"/>
      <c r="B806" s="11"/>
      <c r="C806" s="11"/>
      <c r="D806" s="11"/>
      <c r="E806" s="11"/>
      <c r="F806" s="11"/>
      <c r="G806" s="11"/>
      <c r="H806" s="11"/>
      <c r="I806" s="11"/>
      <c r="J806" s="11"/>
      <c r="K806" s="11"/>
      <c r="L806" s="15"/>
      <c r="M806" s="15"/>
      <c r="N806" s="15"/>
      <c r="O806" s="15"/>
      <c r="P806" s="15"/>
      <c r="Q806" s="11"/>
      <c r="R806" s="11"/>
      <c r="S806" s="11"/>
      <c r="T806" s="11"/>
      <c r="U806" s="15"/>
      <c r="V806" s="11"/>
      <c r="W806" s="11"/>
      <c r="X806" s="11"/>
      <c r="Y806" s="11"/>
      <c r="Z806" s="11"/>
    </row>
    <row r="807">
      <c r="A807" s="18"/>
      <c r="B807" s="11"/>
      <c r="C807" s="11"/>
      <c r="D807" s="11"/>
      <c r="E807" s="11"/>
      <c r="F807" s="11"/>
      <c r="G807" s="11"/>
      <c r="H807" s="11"/>
      <c r="I807" s="11"/>
      <c r="J807" s="11"/>
      <c r="K807" s="11"/>
      <c r="L807" s="15"/>
      <c r="M807" s="15"/>
      <c r="N807" s="15"/>
      <c r="O807" s="15"/>
      <c r="P807" s="15"/>
      <c r="Q807" s="11"/>
      <c r="R807" s="11"/>
      <c r="S807" s="11"/>
      <c r="T807" s="11"/>
      <c r="U807" s="15"/>
      <c r="V807" s="11"/>
      <c r="W807" s="11"/>
      <c r="X807" s="11"/>
      <c r="Y807" s="11"/>
      <c r="Z807" s="11"/>
    </row>
    <row r="808">
      <c r="A808" s="18"/>
      <c r="B808" s="11"/>
      <c r="C808" s="11"/>
      <c r="D808" s="11"/>
      <c r="E808" s="11"/>
      <c r="F808" s="11"/>
      <c r="G808" s="11"/>
      <c r="H808" s="11"/>
      <c r="I808" s="11"/>
      <c r="J808" s="11"/>
      <c r="K808" s="11"/>
      <c r="L808" s="15"/>
      <c r="M808" s="15"/>
      <c r="N808" s="15"/>
      <c r="O808" s="15"/>
      <c r="P808" s="15"/>
      <c r="Q808" s="11"/>
      <c r="R808" s="11"/>
      <c r="S808" s="11"/>
      <c r="T808" s="11"/>
      <c r="U808" s="15"/>
      <c r="V808" s="11"/>
      <c r="W808" s="11"/>
      <c r="X808" s="11"/>
      <c r="Y808" s="11"/>
      <c r="Z808" s="11"/>
    </row>
    <row r="809">
      <c r="A809" s="18"/>
      <c r="B809" s="11"/>
      <c r="C809" s="11"/>
      <c r="D809" s="11"/>
      <c r="E809" s="11"/>
      <c r="F809" s="11"/>
      <c r="G809" s="11"/>
      <c r="H809" s="11"/>
      <c r="I809" s="11"/>
      <c r="J809" s="11"/>
      <c r="K809" s="11"/>
      <c r="L809" s="15"/>
      <c r="M809" s="15"/>
      <c r="N809" s="15"/>
      <c r="O809" s="15"/>
      <c r="P809" s="15"/>
      <c r="Q809" s="11"/>
      <c r="R809" s="11"/>
      <c r="S809" s="11"/>
      <c r="T809" s="11"/>
      <c r="U809" s="15"/>
      <c r="V809" s="11"/>
      <c r="W809" s="11"/>
      <c r="X809" s="11"/>
      <c r="Y809" s="11"/>
      <c r="Z809" s="11"/>
    </row>
    <row r="810">
      <c r="A810" s="18"/>
      <c r="B810" s="11"/>
      <c r="C810" s="11"/>
      <c r="D810" s="11"/>
      <c r="E810" s="11"/>
      <c r="F810" s="11"/>
      <c r="G810" s="11"/>
      <c r="H810" s="11"/>
      <c r="I810" s="11"/>
      <c r="J810" s="11"/>
      <c r="K810" s="11"/>
      <c r="L810" s="15"/>
      <c r="M810" s="15"/>
      <c r="N810" s="15"/>
      <c r="O810" s="15"/>
      <c r="P810" s="15"/>
      <c r="Q810" s="11"/>
      <c r="R810" s="11"/>
      <c r="S810" s="11"/>
      <c r="T810" s="11"/>
      <c r="U810" s="15"/>
      <c r="V810" s="11"/>
      <c r="W810" s="11"/>
      <c r="X810" s="11"/>
      <c r="Y810" s="11"/>
      <c r="Z810" s="11"/>
    </row>
    <row r="811">
      <c r="A811" s="18"/>
      <c r="B811" s="11"/>
      <c r="C811" s="11"/>
      <c r="D811" s="11"/>
      <c r="E811" s="11"/>
      <c r="F811" s="11"/>
      <c r="G811" s="11"/>
      <c r="H811" s="11"/>
      <c r="I811" s="11"/>
      <c r="J811" s="11"/>
      <c r="K811" s="11"/>
      <c r="L811" s="15"/>
      <c r="M811" s="15"/>
      <c r="N811" s="15"/>
      <c r="O811" s="15"/>
      <c r="P811" s="15"/>
      <c r="Q811" s="11"/>
      <c r="R811" s="11"/>
      <c r="S811" s="11"/>
      <c r="T811" s="11"/>
      <c r="U811" s="15"/>
      <c r="V811" s="11"/>
      <c r="W811" s="11"/>
      <c r="X811" s="11"/>
      <c r="Y811" s="11"/>
      <c r="Z811" s="11"/>
    </row>
    <row r="812">
      <c r="A812" s="18"/>
      <c r="B812" s="11"/>
      <c r="C812" s="11"/>
      <c r="D812" s="11"/>
      <c r="E812" s="11"/>
      <c r="F812" s="11"/>
      <c r="G812" s="11"/>
      <c r="H812" s="11"/>
      <c r="I812" s="11"/>
      <c r="J812" s="11"/>
      <c r="K812" s="11"/>
      <c r="L812" s="15"/>
      <c r="M812" s="15"/>
      <c r="N812" s="15"/>
      <c r="O812" s="15"/>
      <c r="P812" s="15"/>
      <c r="Q812" s="11"/>
      <c r="R812" s="11"/>
      <c r="S812" s="11"/>
      <c r="T812" s="11"/>
      <c r="U812" s="15"/>
      <c r="V812" s="11"/>
      <c r="W812" s="11"/>
      <c r="X812" s="11"/>
      <c r="Y812" s="11"/>
      <c r="Z812" s="11"/>
    </row>
    <row r="813">
      <c r="A813" s="18"/>
      <c r="B813" s="11"/>
      <c r="C813" s="11"/>
      <c r="D813" s="11"/>
      <c r="E813" s="11"/>
      <c r="F813" s="11"/>
      <c r="G813" s="11"/>
      <c r="H813" s="11"/>
      <c r="I813" s="11"/>
      <c r="J813" s="11"/>
      <c r="K813" s="11"/>
      <c r="L813" s="15"/>
      <c r="M813" s="15"/>
      <c r="N813" s="15"/>
      <c r="O813" s="15"/>
      <c r="P813" s="15"/>
      <c r="Q813" s="11"/>
      <c r="R813" s="11"/>
      <c r="S813" s="11"/>
      <c r="T813" s="11"/>
      <c r="U813" s="15"/>
      <c r="V813" s="11"/>
      <c r="W813" s="11"/>
      <c r="X813" s="11"/>
      <c r="Y813" s="11"/>
      <c r="Z813" s="11"/>
    </row>
    <row r="814">
      <c r="A814" s="18"/>
      <c r="B814" s="11"/>
      <c r="C814" s="11"/>
      <c r="D814" s="11"/>
      <c r="E814" s="11"/>
      <c r="F814" s="11"/>
      <c r="G814" s="11"/>
      <c r="H814" s="11"/>
      <c r="I814" s="11"/>
      <c r="J814" s="11"/>
      <c r="K814" s="11"/>
      <c r="L814" s="15"/>
      <c r="M814" s="15"/>
      <c r="N814" s="15"/>
      <c r="O814" s="15"/>
      <c r="P814" s="15"/>
      <c r="Q814" s="11"/>
      <c r="R814" s="11"/>
      <c r="S814" s="11"/>
      <c r="T814" s="11"/>
      <c r="U814" s="15"/>
      <c r="V814" s="11"/>
      <c r="W814" s="11"/>
      <c r="X814" s="11"/>
      <c r="Y814" s="11"/>
      <c r="Z814" s="11"/>
    </row>
    <row r="815">
      <c r="A815" s="18"/>
      <c r="B815" s="11"/>
      <c r="C815" s="11"/>
      <c r="D815" s="11"/>
      <c r="E815" s="11"/>
      <c r="F815" s="11"/>
      <c r="G815" s="11"/>
      <c r="H815" s="11"/>
      <c r="I815" s="11"/>
      <c r="J815" s="11"/>
      <c r="K815" s="11"/>
      <c r="L815" s="15"/>
      <c r="M815" s="15"/>
      <c r="N815" s="15"/>
      <c r="O815" s="15"/>
      <c r="P815" s="15"/>
      <c r="Q815" s="11"/>
      <c r="R815" s="11"/>
      <c r="S815" s="11"/>
      <c r="T815" s="11"/>
      <c r="U815" s="15"/>
      <c r="V815" s="11"/>
      <c r="W815" s="11"/>
      <c r="X815" s="11"/>
      <c r="Y815" s="11"/>
      <c r="Z815" s="11"/>
    </row>
    <row r="816">
      <c r="A816" s="18"/>
      <c r="B816" s="11"/>
      <c r="C816" s="11"/>
      <c r="D816" s="11"/>
      <c r="E816" s="11"/>
      <c r="F816" s="11"/>
      <c r="G816" s="11"/>
      <c r="H816" s="11"/>
      <c r="I816" s="11"/>
      <c r="J816" s="11"/>
      <c r="K816" s="11"/>
      <c r="L816" s="15"/>
      <c r="M816" s="15"/>
      <c r="N816" s="15"/>
      <c r="O816" s="15"/>
      <c r="P816" s="15"/>
      <c r="Q816" s="11"/>
      <c r="R816" s="11"/>
      <c r="S816" s="11"/>
      <c r="T816" s="11"/>
      <c r="U816" s="15"/>
      <c r="V816" s="11"/>
      <c r="W816" s="11"/>
      <c r="X816" s="11"/>
      <c r="Y816" s="11"/>
      <c r="Z816" s="11"/>
    </row>
    <row r="817">
      <c r="A817" s="18"/>
      <c r="B817" s="11"/>
      <c r="C817" s="11"/>
      <c r="D817" s="11"/>
      <c r="E817" s="11"/>
      <c r="F817" s="11"/>
      <c r="G817" s="11"/>
      <c r="H817" s="11"/>
      <c r="I817" s="11"/>
      <c r="J817" s="11"/>
      <c r="K817" s="11"/>
      <c r="L817" s="15"/>
      <c r="M817" s="15"/>
      <c r="N817" s="15"/>
      <c r="O817" s="15"/>
      <c r="P817" s="15"/>
      <c r="Q817" s="11"/>
      <c r="R817" s="11"/>
      <c r="S817" s="11"/>
      <c r="T817" s="11"/>
      <c r="U817" s="15"/>
      <c r="V817" s="11"/>
      <c r="W817" s="11"/>
      <c r="X817" s="11"/>
      <c r="Y817" s="11"/>
      <c r="Z817" s="11"/>
    </row>
    <row r="818">
      <c r="A818" s="18"/>
      <c r="B818" s="11"/>
      <c r="C818" s="11"/>
      <c r="D818" s="11"/>
      <c r="E818" s="11"/>
      <c r="F818" s="11"/>
      <c r="G818" s="11"/>
      <c r="H818" s="11"/>
      <c r="I818" s="11"/>
      <c r="J818" s="11"/>
      <c r="K818" s="11"/>
      <c r="L818" s="15"/>
      <c r="M818" s="15"/>
      <c r="N818" s="15"/>
      <c r="O818" s="15"/>
      <c r="P818" s="15"/>
      <c r="Q818" s="11"/>
      <c r="R818" s="11"/>
      <c r="S818" s="11"/>
      <c r="T818" s="11"/>
      <c r="U818" s="15"/>
      <c r="V818" s="11"/>
      <c r="W818" s="11"/>
      <c r="X818" s="11"/>
      <c r="Y818" s="11"/>
      <c r="Z818" s="11"/>
    </row>
    <row r="819">
      <c r="A819" s="18"/>
      <c r="B819" s="11"/>
      <c r="C819" s="11"/>
      <c r="D819" s="11"/>
      <c r="E819" s="11"/>
      <c r="F819" s="11"/>
      <c r="G819" s="11"/>
      <c r="H819" s="11"/>
      <c r="I819" s="11"/>
      <c r="J819" s="11"/>
      <c r="K819" s="11"/>
      <c r="L819" s="15"/>
      <c r="M819" s="15"/>
      <c r="N819" s="15"/>
      <c r="O819" s="15"/>
      <c r="P819" s="15"/>
      <c r="Q819" s="11"/>
      <c r="R819" s="11"/>
      <c r="S819" s="11"/>
      <c r="T819" s="11"/>
      <c r="U819" s="15"/>
      <c r="V819" s="11"/>
      <c r="W819" s="11"/>
      <c r="X819" s="11"/>
      <c r="Y819" s="11"/>
      <c r="Z819" s="11"/>
    </row>
    <row r="820">
      <c r="A820" s="18"/>
      <c r="B820" s="11"/>
      <c r="C820" s="11"/>
      <c r="D820" s="11"/>
      <c r="E820" s="11"/>
      <c r="F820" s="11"/>
      <c r="G820" s="11"/>
      <c r="H820" s="11"/>
      <c r="I820" s="11"/>
      <c r="J820" s="11"/>
      <c r="K820" s="11"/>
      <c r="L820" s="15"/>
      <c r="M820" s="15"/>
      <c r="N820" s="15"/>
      <c r="O820" s="15"/>
      <c r="P820" s="15"/>
      <c r="Q820" s="11"/>
      <c r="R820" s="11"/>
      <c r="S820" s="11"/>
      <c r="T820" s="11"/>
      <c r="U820" s="15"/>
      <c r="V820" s="11"/>
      <c r="W820" s="11"/>
      <c r="X820" s="11"/>
      <c r="Y820" s="11"/>
      <c r="Z820" s="11"/>
    </row>
    <row r="821">
      <c r="A821" s="18"/>
      <c r="B821" s="11"/>
      <c r="C821" s="11"/>
      <c r="D821" s="11"/>
      <c r="E821" s="11"/>
      <c r="F821" s="11"/>
      <c r="G821" s="11"/>
      <c r="H821" s="11"/>
      <c r="I821" s="11"/>
      <c r="J821" s="11"/>
      <c r="K821" s="11"/>
      <c r="L821" s="15"/>
      <c r="M821" s="15"/>
      <c r="N821" s="15"/>
      <c r="O821" s="15"/>
      <c r="P821" s="15"/>
      <c r="Q821" s="11"/>
      <c r="R821" s="11"/>
      <c r="S821" s="11"/>
      <c r="T821" s="11"/>
      <c r="U821" s="15"/>
      <c r="V821" s="11"/>
      <c r="W821" s="11"/>
      <c r="X821" s="11"/>
      <c r="Y821" s="11"/>
      <c r="Z821" s="11"/>
    </row>
    <row r="822">
      <c r="A822" s="18"/>
      <c r="B822" s="11"/>
      <c r="C822" s="11"/>
      <c r="D822" s="11"/>
      <c r="E822" s="11"/>
      <c r="F822" s="11"/>
      <c r="G822" s="11"/>
      <c r="H822" s="11"/>
      <c r="I822" s="11"/>
      <c r="J822" s="11"/>
      <c r="K822" s="11"/>
      <c r="L822" s="15"/>
      <c r="M822" s="15"/>
      <c r="N822" s="15"/>
      <c r="O822" s="15"/>
      <c r="P822" s="15"/>
      <c r="Q822" s="11"/>
      <c r="R822" s="11"/>
      <c r="S822" s="11"/>
      <c r="T822" s="11"/>
      <c r="U822" s="15"/>
      <c r="V822" s="11"/>
      <c r="W822" s="11"/>
      <c r="X822" s="11"/>
      <c r="Y822" s="11"/>
      <c r="Z822" s="11"/>
    </row>
    <row r="823">
      <c r="A823" s="18"/>
      <c r="B823" s="11"/>
      <c r="C823" s="11"/>
      <c r="D823" s="11"/>
      <c r="E823" s="11"/>
      <c r="F823" s="11"/>
      <c r="G823" s="11"/>
      <c r="H823" s="11"/>
      <c r="I823" s="11"/>
      <c r="J823" s="11"/>
      <c r="K823" s="11"/>
      <c r="L823" s="15"/>
      <c r="M823" s="15"/>
      <c r="N823" s="15"/>
      <c r="O823" s="15"/>
      <c r="P823" s="15"/>
      <c r="Q823" s="11"/>
      <c r="R823" s="11"/>
      <c r="S823" s="11"/>
      <c r="T823" s="11"/>
      <c r="U823" s="15"/>
      <c r="V823" s="11"/>
      <c r="W823" s="11"/>
      <c r="X823" s="11"/>
      <c r="Y823" s="11"/>
      <c r="Z823" s="11"/>
    </row>
    <row r="824">
      <c r="A824" s="18"/>
      <c r="B824" s="11"/>
      <c r="C824" s="11"/>
      <c r="D824" s="11"/>
      <c r="E824" s="11"/>
      <c r="F824" s="11"/>
      <c r="G824" s="11"/>
      <c r="H824" s="11"/>
      <c r="I824" s="11"/>
      <c r="J824" s="11"/>
      <c r="K824" s="11"/>
      <c r="L824" s="15"/>
      <c r="M824" s="15"/>
      <c r="N824" s="15"/>
      <c r="O824" s="15"/>
      <c r="P824" s="15"/>
      <c r="Q824" s="11"/>
      <c r="R824" s="11"/>
      <c r="S824" s="11"/>
      <c r="T824" s="11"/>
      <c r="U824" s="15"/>
      <c r="V824" s="11"/>
      <c r="W824" s="11"/>
      <c r="X824" s="11"/>
      <c r="Y824" s="11"/>
      <c r="Z824" s="11"/>
    </row>
    <row r="825">
      <c r="A825" s="18"/>
      <c r="B825" s="11"/>
      <c r="C825" s="11"/>
      <c r="D825" s="11"/>
      <c r="E825" s="11"/>
      <c r="F825" s="11"/>
      <c r="G825" s="11"/>
      <c r="H825" s="11"/>
      <c r="I825" s="11"/>
      <c r="J825" s="11"/>
      <c r="K825" s="11"/>
      <c r="L825" s="15"/>
      <c r="M825" s="15"/>
      <c r="N825" s="15"/>
      <c r="O825" s="15"/>
      <c r="P825" s="15"/>
      <c r="Q825" s="11"/>
      <c r="R825" s="11"/>
      <c r="S825" s="11"/>
      <c r="T825" s="11"/>
      <c r="U825" s="15"/>
      <c r="V825" s="11"/>
      <c r="W825" s="11"/>
      <c r="X825" s="11"/>
      <c r="Y825" s="11"/>
      <c r="Z825" s="11"/>
    </row>
    <row r="826">
      <c r="A826" s="18"/>
      <c r="B826" s="11"/>
      <c r="C826" s="11"/>
      <c r="D826" s="11"/>
      <c r="E826" s="11"/>
      <c r="F826" s="11"/>
      <c r="G826" s="11"/>
      <c r="H826" s="11"/>
      <c r="I826" s="11"/>
      <c r="J826" s="11"/>
      <c r="K826" s="11"/>
      <c r="L826" s="15"/>
      <c r="M826" s="15"/>
      <c r="N826" s="15"/>
      <c r="O826" s="15"/>
      <c r="P826" s="15"/>
      <c r="Q826" s="11"/>
      <c r="R826" s="11"/>
      <c r="S826" s="11"/>
      <c r="T826" s="11"/>
      <c r="U826" s="15"/>
      <c r="V826" s="11"/>
      <c r="W826" s="11"/>
      <c r="X826" s="11"/>
      <c r="Y826" s="11"/>
      <c r="Z826" s="11"/>
    </row>
    <row r="827">
      <c r="A827" s="18"/>
      <c r="B827" s="11"/>
      <c r="C827" s="11"/>
      <c r="D827" s="11"/>
      <c r="E827" s="11"/>
      <c r="F827" s="11"/>
      <c r="G827" s="11"/>
      <c r="H827" s="11"/>
      <c r="I827" s="11"/>
      <c r="J827" s="11"/>
      <c r="K827" s="11"/>
      <c r="L827" s="15"/>
      <c r="M827" s="15"/>
      <c r="N827" s="15"/>
      <c r="O827" s="15"/>
      <c r="P827" s="15"/>
      <c r="Q827" s="11"/>
      <c r="R827" s="11"/>
      <c r="S827" s="11"/>
      <c r="T827" s="11"/>
      <c r="U827" s="15"/>
      <c r="V827" s="11"/>
      <c r="W827" s="11"/>
      <c r="X827" s="11"/>
      <c r="Y827" s="11"/>
      <c r="Z827" s="11"/>
    </row>
    <row r="828">
      <c r="A828" s="18"/>
      <c r="B828" s="11"/>
      <c r="C828" s="11"/>
      <c r="D828" s="11"/>
      <c r="E828" s="11"/>
      <c r="F828" s="11"/>
      <c r="G828" s="11"/>
      <c r="H828" s="11"/>
      <c r="I828" s="11"/>
      <c r="J828" s="11"/>
      <c r="K828" s="11"/>
      <c r="L828" s="15"/>
      <c r="M828" s="15"/>
      <c r="N828" s="15"/>
      <c r="O828" s="15"/>
      <c r="P828" s="15"/>
      <c r="Q828" s="11"/>
      <c r="R828" s="11"/>
      <c r="S828" s="11"/>
      <c r="T828" s="11"/>
      <c r="U828" s="15"/>
      <c r="V828" s="11"/>
      <c r="W828" s="11"/>
      <c r="X828" s="11"/>
      <c r="Y828" s="11"/>
      <c r="Z828" s="11"/>
    </row>
    <row r="829">
      <c r="A829" s="18"/>
      <c r="B829" s="11"/>
      <c r="C829" s="11"/>
      <c r="D829" s="11"/>
      <c r="E829" s="11"/>
      <c r="F829" s="11"/>
      <c r="G829" s="11"/>
      <c r="H829" s="11"/>
      <c r="I829" s="11"/>
      <c r="J829" s="11"/>
      <c r="K829" s="11"/>
      <c r="L829" s="15"/>
      <c r="M829" s="15"/>
      <c r="N829" s="15"/>
      <c r="O829" s="15"/>
      <c r="P829" s="15"/>
      <c r="Q829" s="11"/>
      <c r="R829" s="11"/>
      <c r="S829" s="11"/>
      <c r="T829" s="11"/>
      <c r="U829" s="15"/>
      <c r="V829" s="11"/>
      <c r="W829" s="11"/>
      <c r="X829" s="11"/>
      <c r="Y829" s="11"/>
      <c r="Z829" s="11"/>
    </row>
    <row r="830">
      <c r="A830" s="18"/>
      <c r="B830" s="11"/>
      <c r="C830" s="11"/>
      <c r="D830" s="11"/>
      <c r="E830" s="11"/>
      <c r="F830" s="11"/>
      <c r="G830" s="11"/>
      <c r="H830" s="11"/>
      <c r="I830" s="11"/>
      <c r="J830" s="11"/>
      <c r="K830" s="11"/>
      <c r="L830" s="15"/>
      <c r="M830" s="15"/>
      <c r="N830" s="15"/>
      <c r="O830" s="15"/>
      <c r="P830" s="15"/>
      <c r="Q830" s="11"/>
      <c r="R830" s="11"/>
      <c r="S830" s="11"/>
      <c r="T830" s="11"/>
      <c r="U830" s="15"/>
      <c r="V830" s="11"/>
      <c r="W830" s="11"/>
      <c r="X830" s="11"/>
      <c r="Y830" s="11"/>
      <c r="Z830" s="11"/>
    </row>
    <row r="831">
      <c r="A831" s="18"/>
      <c r="B831" s="11"/>
      <c r="C831" s="11"/>
      <c r="D831" s="11"/>
      <c r="E831" s="11"/>
      <c r="F831" s="11"/>
      <c r="G831" s="11"/>
      <c r="H831" s="11"/>
      <c r="I831" s="11"/>
      <c r="J831" s="11"/>
      <c r="K831" s="11"/>
      <c r="L831" s="15"/>
      <c r="M831" s="15"/>
      <c r="N831" s="15"/>
      <c r="O831" s="15"/>
      <c r="P831" s="15"/>
      <c r="Q831" s="11"/>
      <c r="R831" s="11"/>
      <c r="S831" s="11"/>
      <c r="T831" s="11"/>
      <c r="U831" s="15"/>
      <c r="V831" s="11"/>
      <c r="W831" s="11"/>
      <c r="X831" s="11"/>
      <c r="Y831" s="11"/>
      <c r="Z831" s="11"/>
    </row>
    <row r="832">
      <c r="A832" s="18"/>
      <c r="B832" s="11"/>
      <c r="C832" s="11"/>
      <c r="D832" s="11"/>
      <c r="E832" s="11"/>
      <c r="F832" s="11"/>
      <c r="G832" s="11"/>
      <c r="H832" s="11"/>
      <c r="I832" s="11"/>
      <c r="J832" s="11"/>
      <c r="K832" s="11"/>
      <c r="L832" s="15"/>
      <c r="M832" s="15"/>
      <c r="N832" s="15"/>
      <c r="O832" s="15"/>
      <c r="P832" s="15"/>
      <c r="Q832" s="11"/>
      <c r="R832" s="11"/>
      <c r="S832" s="11"/>
      <c r="T832" s="11"/>
      <c r="U832" s="15"/>
      <c r="V832" s="11"/>
      <c r="W832" s="11"/>
      <c r="X832" s="11"/>
      <c r="Y832" s="11"/>
      <c r="Z832" s="11"/>
    </row>
    <row r="833">
      <c r="A833" s="18"/>
      <c r="B833" s="11"/>
      <c r="C833" s="11"/>
      <c r="D833" s="11"/>
      <c r="E833" s="11"/>
      <c r="F833" s="11"/>
      <c r="G833" s="11"/>
      <c r="H833" s="11"/>
      <c r="I833" s="11"/>
      <c r="J833" s="11"/>
      <c r="K833" s="11"/>
      <c r="L833" s="15"/>
      <c r="M833" s="15"/>
      <c r="N833" s="15"/>
      <c r="O833" s="15"/>
      <c r="P833" s="15"/>
      <c r="Q833" s="11"/>
      <c r="R833" s="11"/>
      <c r="S833" s="11"/>
      <c r="T833" s="11"/>
      <c r="U833" s="15"/>
      <c r="V833" s="11"/>
      <c r="W833" s="11"/>
      <c r="X833" s="11"/>
      <c r="Y833" s="11"/>
      <c r="Z833" s="11"/>
    </row>
    <row r="834">
      <c r="A834" s="18"/>
      <c r="B834" s="11"/>
      <c r="C834" s="11"/>
      <c r="D834" s="11"/>
      <c r="E834" s="11"/>
      <c r="F834" s="11"/>
      <c r="G834" s="11"/>
      <c r="H834" s="11"/>
      <c r="I834" s="11"/>
      <c r="J834" s="11"/>
      <c r="K834" s="11"/>
      <c r="L834" s="15"/>
      <c r="M834" s="15"/>
      <c r="N834" s="15"/>
      <c r="O834" s="15"/>
      <c r="P834" s="15"/>
      <c r="Q834" s="11"/>
      <c r="R834" s="11"/>
      <c r="S834" s="11"/>
      <c r="T834" s="11"/>
      <c r="U834" s="15"/>
      <c r="V834" s="11"/>
      <c r="W834" s="11"/>
      <c r="X834" s="11"/>
      <c r="Y834" s="11"/>
      <c r="Z834" s="11"/>
    </row>
    <row r="835">
      <c r="A835" s="18"/>
      <c r="B835" s="11"/>
      <c r="C835" s="11"/>
      <c r="D835" s="11"/>
      <c r="E835" s="11"/>
      <c r="F835" s="11"/>
      <c r="G835" s="11"/>
      <c r="H835" s="11"/>
      <c r="I835" s="11"/>
      <c r="J835" s="11"/>
      <c r="K835" s="11"/>
      <c r="L835" s="15"/>
      <c r="M835" s="15"/>
      <c r="N835" s="15"/>
      <c r="O835" s="15"/>
      <c r="P835" s="15"/>
      <c r="Q835" s="11"/>
      <c r="R835" s="11"/>
      <c r="S835" s="11"/>
      <c r="T835" s="11"/>
      <c r="U835" s="15"/>
      <c r="V835" s="11"/>
      <c r="W835" s="11"/>
      <c r="X835" s="11"/>
      <c r="Y835" s="11"/>
      <c r="Z835" s="11"/>
    </row>
    <row r="836">
      <c r="A836" s="18"/>
      <c r="B836" s="11"/>
      <c r="C836" s="11"/>
      <c r="D836" s="11"/>
      <c r="E836" s="11"/>
      <c r="F836" s="11"/>
      <c r="G836" s="11"/>
      <c r="H836" s="11"/>
      <c r="I836" s="11"/>
      <c r="J836" s="11"/>
      <c r="K836" s="11"/>
      <c r="L836" s="15"/>
      <c r="M836" s="15"/>
      <c r="N836" s="15"/>
      <c r="O836" s="15"/>
      <c r="P836" s="15"/>
      <c r="Q836" s="11"/>
      <c r="R836" s="11"/>
      <c r="S836" s="11"/>
      <c r="T836" s="11"/>
      <c r="U836" s="15"/>
      <c r="V836" s="11"/>
      <c r="W836" s="11"/>
      <c r="X836" s="11"/>
      <c r="Y836" s="11"/>
      <c r="Z836" s="11"/>
    </row>
    <row r="837">
      <c r="A837" s="18"/>
      <c r="B837" s="11"/>
      <c r="C837" s="11"/>
      <c r="D837" s="11"/>
      <c r="E837" s="11"/>
      <c r="F837" s="11"/>
      <c r="G837" s="11"/>
      <c r="H837" s="11"/>
      <c r="I837" s="11"/>
      <c r="J837" s="11"/>
      <c r="K837" s="11"/>
      <c r="L837" s="15"/>
      <c r="M837" s="15"/>
      <c r="N837" s="15"/>
      <c r="O837" s="15"/>
      <c r="P837" s="15"/>
      <c r="Q837" s="11"/>
      <c r="R837" s="11"/>
      <c r="S837" s="11"/>
      <c r="T837" s="11"/>
      <c r="U837" s="15"/>
      <c r="V837" s="11"/>
      <c r="W837" s="11"/>
      <c r="X837" s="11"/>
      <c r="Y837" s="11"/>
      <c r="Z837" s="11"/>
    </row>
    <row r="838">
      <c r="A838" s="18"/>
      <c r="B838" s="11"/>
      <c r="C838" s="11"/>
      <c r="D838" s="11"/>
      <c r="E838" s="11"/>
      <c r="F838" s="11"/>
      <c r="G838" s="11"/>
      <c r="H838" s="11"/>
      <c r="I838" s="11"/>
      <c r="J838" s="11"/>
      <c r="K838" s="11"/>
      <c r="L838" s="15"/>
      <c r="M838" s="15"/>
      <c r="N838" s="15"/>
      <c r="O838" s="15"/>
      <c r="P838" s="15"/>
      <c r="Q838" s="11"/>
      <c r="R838" s="11"/>
      <c r="S838" s="11"/>
      <c r="T838" s="11"/>
      <c r="U838" s="15"/>
      <c r="V838" s="11"/>
      <c r="W838" s="11"/>
      <c r="X838" s="11"/>
      <c r="Y838" s="11"/>
      <c r="Z838" s="11"/>
    </row>
    <row r="839">
      <c r="A839" s="18"/>
      <c r="B839" s="11"/>
      <c r="C839" s="11"/>
      <c r="D839" s="11"/>
      <c r="E839" s="11"/>
      <c r="F839" s="11"/>
      <c r="G839" s="11"/>
      <c r="H839" s="11"/>
      <c r="I839" s="11"/>
      <c r="J839" s="11"/>
      <c r="K839" s="11"/>
      <c r="L839" s="15"/>
      <c r="M839" s="15"/>
      <c r="N839" s="15"/>
      <c r="O839" s="15"/>
      <c r="P839" s="15"/>
      <c r="Q839" s="11"/>
      <c r="R839" s="11"/>
      <c r="S839" s="11"/>
      <c r="T839" s="11"/>
      <c r="U839" s="15"/>
      <c r="V839" s="11"/>
      <c r="W839" s="11"/>
      <c r="X839" s="11"/>
      <c r="Y839" s="11"/>
      <c r="Z839" s="11"/>
    </row>
    <row r="840">
      <c r="A840" s="18"/>
      <c r="B840" s="11"/>
      <c r="C840" s="11"/>
      <c r="D840" s="11"/>
      <c r="E840" s="11"/>
      <c r="F840" s="11"/>
      <c r="G840" s="11"/>
      <c r="H840" s="11"/>
      <c r="I840" s="11"/>
      <c r="J840" s="11"/>
      <c r="K840" s="11"/>
      <c r="L840" s="15"/>
      <c r="M840" s="15"/>
      <c r="N840" s="15"/>
      <c r="O840" s="15"/>
      <c r="P840" s="15"/>
      <c r="Q840" s="11"/>
      <c r="R840" s="11"/>
      <c r="S840" s="11"/>
      <c r="T840" s="11"/>
      <c r="U840" s="15"/>
      <c r="V840" s="11"/>
      <c r="W840" s="11"/>
      <c r="X840" s="11"/>
      <c r="Y840" s="11"/>
      <c r="Z840" s="11"/>
    </row>
    <row r="841">
      <c r="A841" s="18"/>
      <c r="B841" s="11"/>
      <c r="C841" s="11"/>
      <c r="D841" s="11"/>
      <c r="E841" s="11"/>
      <c r="F841" s="11"/>
      <c r="G841" s="11"/>
      <c r="H841" s="11"/>
      <c r="I841" s="11"/>
      <c r="J841" s="11"/>
      <c r="K841" s="11"/>
      <c r="L841" s="15"/>
      <c r="M841" s="15"/>
      <c r="N841" s="15"/>
      <c r="O841" s="15"/>
      <c r="P841" s="15"/>
      <c r="Q841" s="11"/>
      <c r="R841" s="11"/>
      <c r="S841" s="11"/>
      <c r="T841" s="11"/>
      <c r="U841" s="15"/>
      <c r="V841" s="11"/>
      <c r="W841" s="11"/>
      <c r="X841" s="11"/>
      <c r="Y841" s="11"/>
      <c r="Z841" s="11"/>
    </row>
    <row r="842">
      <c r="A842" s="18"/>
      <c r="B842" s="11"/>
      <c r="C842" s="11"/>
      <c r="D842" s="11"/>
      <c r="E842" s="11"/>
      <c r="F842" s="11"/>
      <c r="G842" s="11"/>
      <c r="H842" s="11"/>
      <c r="I842" s="11"/>
      <c r="J842" s="11"/>
      <c r="K842" s="11"/>
      <c r="L842" s="15"/>
      <c r="M842" s="15"/>
      <c r="N842" s="15"/>
      <c r="O842" s="15"/>
      <c r="P842" s="15"/>
      <c r="Q842" s="11"/>
      <c r="R842" s="11"/>
      <c r="S842" s="11"/>
      <c r="T842" s="11"/>
      <c r="U842" s="15"/>
      <c r="V842" s="11"/>
      <c r="W842" s="11"/>
      <c r="X842" s="11"/>
      <c r="Y842" s="11"/>
      <c r="Z842" s="11"/>
    </row>
    <row r="843">
      <c r="A843" s="18"/>
      <c r="B843" s="11"/>
      <c r="C843" s="11"/>
      <c r="D843" s="11"/>
      <c r="E843" s="11"/>
      <c r="F843" s="11"/>
      <c r="G843" s="11"/>
      <c r="H843" s="11"/>
      <c r="I843" s="11"/>
      <c r="J843" s="11"/>
      <c r="K843" s="11"/>
      <c r="L843" s="15"/>
      <c r="M843" s="15"/>
      <c r="N843" s="15"/>
      <c r="O843" s="15"/>
      <c r="P843" s="15"/>
      <c r="Q843" s="11"/>
      <c r="R843" s="11"/>
      <c r="S843" s="11"/>
      <c r="T843" s="11"/>
      <c r="U843" s="15"/>
      <c r="V843" s="11"/>
      <c r="W843" s="11"/>
      <c r="X843" s="11"/>
      <c r="Y843" s="11"/>
      <c r="Z843" s="11"/>
    </row>
    <row r="844">
      <c r="A844" s="18"/>
      <c r="B844" s="11"/>
      <c r="C844" s="11"/>
      <c r="D844" s="11"/>
      <c r="E844" s="11"/>
      <c r="F844" s="11"/>
      <c r="G844" s="11"/>
      <c r="H844" s="11"/>
      <c r="I844" s="11"/>
      <c r="J844" s="11"/>
      <c r="K844" s="11"/>
      <c r="L844" s="15"/>
      <c r="M844" s="15"/>
      <c r="N844" s="15"/>
      <c r="O844" s="15"/>
      <c r="P844" s="15"/>
      <c r="Q844" s="11"/>
      <c r="R844" s="11"/>
      <c r="S844" s="11"/>
      <c r="T844" s="11"/>
      <c r="U844" s="15"/>
      <c r="V844" s="11"/>
      <c r="W844" s="11"/>
      <c r="X844" s="11"/>
      <c r="Y844" s="11"/>
      <c r="Z844" s="11"/>
    </row>
    <row r="845">
      <c r="A845" s="18"/>
      <c r="B845" s="11"/>
      <c r="C845" s="11"/>
      <c r="D845" s="11"/>
      <c r="E845" s="11"/>
      <c r="F845" s="11"/>
      <c r="G845" s="11"/>
      <c r="H845" s="11"/>
      <c r="I845" s="11"/>
      <c r="J845" s="11"/>
      <c r="K845" s="11"/>
      <c r="L845" s="15"/>
      <c r="M845" s="15"/>
      <c r="N845" s="15"/>
      <c r="O845" s="15"/>
      <c r="P845" s="15"/>
      <c r="Q845" s="11"/>
      <c r="R845" s="11"/>
      <c r="S845" s="11"/>
      <c r="T845" s="11"/>
      <c r="U845" s="15"/>
      <c r="V845" s="11"/>
      <c r="W845" s="11"/>
      <c r="X845" s="11"/>
      <c r="Y845" s="11"/>
      <c r="Z845" s="11"/>
    </row>
    <row r="846">
      <c r="A846" s="18"/>
      <c r="B846" s="11"/>
      <c r="C846" s="11"/>
      <c r="D846" s="11"/>
      <c r="E846" s="11"/>
      <c r="F846" s="11"/>
      <c r="G846" s="11"/>
      <c r="H846" s="11"/>
      <c r="I846" s="11"/>
      <c r="J846" s="11"/>
      <c r="K846" s="11"/>
      <c r="L846" s="15"/>
      <c r="M846" s="15"/>
      <c r="N846" s="15"/>
      <c r="O846" s="15"/>
      <c r="P846" s="15"/>
      <c r="Q846" s="11"/>
      <c r="R846" s="11"/>
      <c r="S846" s="11"/>
      <c r="T846" s="11"/>
      <c r="U846" s="15"/>
      <c r="V846" s="11"/>
      <c r="W846" s="11"/>
      <c r="X846" s="11"/>
      <c r="Y846" s="11"/>
      <c r="Z846" s="11"/>
    </row>
    <row r="847">
      <c r="A847" s="18"/>
      <c r="B847" s="11"/>
      <c r="C847" s="11"/>
      <c r="D847" s="11"/>
      <c r="E847" s="11"/>
      <c r="F847" s="11"/>
      <c r="G847" s="11"/>
      <c r="H847" s="11"/>
      <c r="I847" s="11"/>
      <c r="J847" s="11"/>
      <c r="K847" s="11"/>
      <c r="L847" s="15"/>
      <c r="M847" s="15"/>
      <c r="N847" s="15"/>
      <c r="O847" s="15"/>
      <c r="P847" s="15"/>
      <c r="Q847" s="11"/>
      <c r="R847" s="11"/>
      <c r="S847" s="11"/>
      <c r="T847" s="11"/>
      <c r="U847" s="15"/>
      <c r="V847" s="11"/>
      <c r="W847" s="11"/>
      <c r="X847" s="11"/>
      <c r="Y847" s="11"/>
      <c r="Z847" s="11"/>
    </row>
    <row r="848">
      <c r="A848" s="18"/>
      <c r="B848" s="11"/>
      <c r="C848" s="11"/>
      <c r="D848" s="11"/>
      <c r="E848" s="11"/>
      <c r="F848" s="11"/>
      <c r="G848" s="11"/>
      <c r="H848" s="11"/>
      <c r="I848" s="11"/>
      <c r="J848" s="11"/>
      <c r="K848" s="11"/>
      <c r="L848" s="15"/>
      <c r="M848" s="15"/>
      <c r="N848" s="15"/>
      <c r="O848" s="15"/>
      <c r="P848" s="15"/>
      <c r="Q848" s="11"/>
      <c r="R848" s="11"/>
      <c r="S848" s="11"/>
      <c r="T848" s="11"/>
      <c r="U848" s="15"/>
      <c r="V848" s="11"/>
      <c r="W848" s="11"/>
      <c r="X848" s="11"/>
      <c r="Y848" s="11"/>
      <c r="Z848" s="11"/>
    </row>
    <row r="849">
      <c r="A849" s="18"/>
      <c r="B849" s="11"/>
      <c r="C849" s="11"/>
      <c r="D849" s="11"/>
      <c r="E849" s="11"/>
      <c r="F849" s="11"/>
      <c r="G849" s="11"/>
      <c r="H849" s="11"/>
      <c r="I849" s="11"/>
      <c r="J849" s="11"/>
      <c r="K849" s="11"/>
      <c r="L849" s="15"/>
      <c r="M849" s="15"/>
      <c r="N849" s="15"/>
      <c r="O849" s="15"/>
      <c r="P849" s="15"/>
      <c r="Q849" s="11"/>
      <c r="R849" s="11"/>
      <c r="S849" s="11"/>
      <c r="T849" s="11"/>
      <c r="U849" s="15"/>
      <c r="V849" s="11"/>
      <c r="W849" s="11"/>
      <c r="X849" s="11"/>
      <c r="Y849" s="11"/>
      <c r="Z849" s="11"/>
    </row>
    <row r="850">
      <c r="A850" s="18"/>
      <c r="B850" s="11"/>
      <c r="C850" s="11"/>
      <c r="D850" s="11"/>
      <c r="E850" s="11"/>
      <c r="F850" s="11"/>
      <c r="G850" s="11"/>
      <c r="H850" s="11"/>
      <c r="I850" s="11"/>
      <c r="J850" s="11"/>
      <c r="K850" s="11"/>
      <c r="L850" s="15"/>
      <c r="M850" s="15"/>
      <c r="N850" s="15"/>
      <c r="O850" s="15"/>
      <c r="P850" s="15"/>
      <c r="Q850" s="11"/>
      <c r="R850" s="11"/>
      <c r="S850" s="11"/>
      <c r="T850" s="11"/>
      <c r="U850" s="15"/>
      <c r="V850" s="11"/>
      <c r="W850" s="11"/>
      <c r="X850" s="11"/>
      <c r="Y850" s="11"/>
      <c r="Z850" s="11"/>
    </row>
    <row r="851">
      <c r="A851" s="18"/>
      <c r="B851" s="11"/>
      <c r="C851" s="11"/>
      <c r="D851" s="11"/>
      <c r="E851" s="11"/>
      <c r="F851" s="11"/>
      <c r="G851" s="11"/>
      <c r="H851" s="11"/>
      <c r="I851" s="11"/>
      <c r="J851" s="11"/>
      <c r="K851" s="11"/>
      <c r="L851" s="15"/>
      <c r="M851" s="15"/>
      <c r="N851" s="15"/>
      <c r="O851" s="15"/>
      <c r="P851" s="15"/>
      <c r="Q851" s="11"/>
      <c r="R851" s="11"/>
      <c r="S851" s="11"/>
      <c r="T851" s="11"/>
      <c r="U851" s="15"/>
      <c r="V851" s="11"/>
      <c r="W851" s="11"/>
      <c r="X851" s="11"/>
      <c r="Y851" s="11"/>
      <c r="Z851" s="11"/>
    </row>
    <row r="852">
      <c r="A852" s="18"/>
      <c r="B852" s="11"/>
      <c r="C852" s="11"/>
      <c r="D852" s="11"/>
      <c r="E852" s="11"/>
      <c r="F852" s="11"/>
      <c r="G852" s="11"/>
      <c r="H852" s="11"/>
      <c r="I852" s="11"/>
      <c r="J852" s="11"/>
      <c r="K852" s="11"/>
      <c r="L852" s="15"/>
      <c r="M852" s="15"/>
      <c r="N852" s="15"/>
      <c r="O852" s="15"/>
      <c r="P852" s="15"/>
      <c r="Q852" s="11"/>
      <c r="R852" s="11"/>
      <c r="S852" s="11"/>
      <c r="T852" s="11"/>
      <c r="U852" s="15"/>
      <c r="V852" s="11"/>
      <c r="W852" s="11"/>
      <c r="X852" s="11"/>
      <c r="Y852" s="11"/>
      <c r="Z852" s="11"/>
    </row>
    <row r="853">
      <c r="A853" s="18"/>
      <c r="B853" s="11"/>
      <c r="C853" s="11"/>
      <c r="D853" s="11"/>
      <c r="E853" s="11"/>
      <c r="F853" s="11"/>
      <c r="G853" s="11"/>
      <c r="H853" s="11"/>
      <c r="I853" s="11"/>
      <c r="J853" s="11"/>
      <c r="K853" s="11"/>
      <c r="L853" s="15"/>
      <c r="M853" s="15"/>
      <c r="N853" s="15"/>
      <c r="O853" s="15"/>
      <c r="P853" s="15"/>
      <c r="Q853" s="11"/>
      <c r="R853" s="11"/>
      <c r="S853" s="11"/>
      <c r="T853" s="11"/>
      <c r="U853" s="15"/>
      <c r="V853" s="11"/>
      <c r="W853" s="11"/>
      <c r="X853" s="11"/>
      <c r="Y853" s="11"/>
      <c r="Z853" s="11"/>
    </row>
    <row r="854">
      <c r="A854" s="18"/>
      <c r="B854" s="11"/>
      <c r="C854" s="11"/>
      <c r="D854" s="11"/>
      <c r="E854" s="11"/>
      <c r="F854" s="11"/>
      <c r="G854" s="11"/>
      <c r="H854" s="11"/>
      <c r="I854" s="11"/>
      <c r="J854" s="11"/>
      <c r="K854" s="11"/>
      <c r="L854" s="15"/>
      <c r="M854" s="15"/>
      <c r="N854" s="15"/>
      <c r="O854" s="15"/>
      <c r="P854" s="15"/>
      <c r="Q854" s="11"/>
      <c r="R854" s="11"/>
      <c r="S854" s="11"/>
      <c r="T854" s="11"/>
      <c r="U854" s="15"/>
      <c r="V854" s="11"/>
      <c r="W854" s="11"/>
      <c r="X854" s="11"/>
      <c r="Y854" s="11"/>
      <c r="Z854" s="11"/>
    </row>
    <row r="855">
      <c r="A855" s="18"/>
      <c r="B855" s="11"/>
      <c r="C855" s="11"/>
      <c r="D855" s="11"/>
      <c r="E855" s="11"/>
      <c r="F855" s="11"/>
      <c r="G855" s="11"/>
      <c r="H855" s="11"/>
      <c r="I855" s="11"/>
      <c r="J855" s="11"/>
      <c r="K855" s="11"/>
      <c r="L855" s="15"/>
      <c r="M855" s="15"/>
      <c r="N855" s="15"/>
      <c r="O855" s="15"/>
      <c r="P855" s="15"/>
      <c r="Q855" s="11"/>
      <c r="R855" s="11"/>
      <c r="S855" s="11"/>
      <c r="T855" s="11"/>
      <c r="U855" s="15"/>
      <c r="V855" s="11"/>
      <c r="W855" s="11"/>
      <c r="X855" s="11"/>
      <c r="Y855" s="11"/>
      <c r="Z855" s="11"/>
    </row>
    <row r="856">
      <c r="A856" s="18"/>
      <c r="B856" s="11"/>
      <c r="C856" s="11"/>
      <c r="D856" s="11"/>
      <c r="E856" s="11"/>
      <c r="F856" s="11"/>
      <c r="G856" s="11"/>
      <c r="H856" s="11"/>
      <c r="I856" s="11"/>
      <c r="J856" s="11"/>
      <c r="K856" s="11"/>
      <c r="L856" s="15"/>
      <c r="M856" s="15"/>
      <c r="N856" s="15"/>
      <c r="O856" s="15"/>
      <c r="P856" s="15"/>
      <c r="Q856" s="11"/>
      <c r="R856" s="11"/>
      <c r="S856" s="11"/>
      <c r="T856" s="11"/>
      <c r="U856" s="15"/>
      <c r="V856" s="11"/>
      <c r="W856" s="11"/>
      <c r="X856" s="11"/>
      <c r="Y856" s="11"/>
      <c r="Z856" s="11"/>
    </row>
    <row r="857">
      <c r="A857" s="18"/>
      <c r="B857" s="11"/>
      <c r="C857" s="11"/>
      <c r="D857" s="11"/>
      <c r="E857" s="11"/>
      <c r="F857" s="11"/>
      <c r="G857" s="11"/>
      <c r="H857" s="11"/>
      <c r="I857" s="11"/>
      <c r="J857" s="11"/>
      <c r="K857" s="11"/>
      <c r="L857" s="15"/>
      <c r="M857" s="15"/>
      <c r="N857" s="15"/>
      <c r="O857" s="15"/>
      <c r="P857" s="15"/>
      <c r="Q857" s="11"/>
      <c r="R857" s="11"/>
      <c r="S857" s="11"/>
      <c r="T857" s="11"/>
      <c r="U857" s="15"/>
      <c r="V857" s="11"/>
      <c r="W857" s="11"/>
      <c r="X857" s="11"/>
      <c r="Y857" s="11"/>
      <c r="Z857" s="11"/>
    </row>
    <row r="858">
      <c r="A858" s="18"/>
      <c r="B858" s="11"/>
      <c r="C858" s="11"/>
      <c r="D858" s="11"/>
      <c r="E858" s="11"/>
      <c r="F858" s="11"/>
      <c r="G858" s="11"/>
      <c r="H858" s="11"/>
      <c r="I858" s="11"/>
      <c r="J858" s="11"/>
      <c r="K858" s="11"/>
      <c r="L858" s="15"/>
      <c r="M858" s="15"/>
      <c r="N858" s="15"/>
      <c r="O858" s="15"/>
      <c r="P858" s="15"/>
      <c r="Q858" s="11"/>
      <c r="R858" s="11"/>
      <c r="S858" s="11"/>
      <c r="T858" s="11"/>
      <c r="U858" s="15"/>
      <c r="V858" s="11"/>
      <c r="W858" s="11"/>
      <c r="X858" s="11"/>
      <c r="Y858" s="11"/>
      <c r="Z858" s="11"/>
    </row>
    <row r="859">
      <c r="A859" s="18"/>
      <c r="B859" s="11"/>
      <c r="C859" s="11"/>
      <c r="D859" s="11"/>
      <c r="E859" s="11"/>
      <c r="F859" s="11"/>
      <c r="G859" s="11"/>
      <c r="H859" s="11"/>
      <c r="I859" s="11"/>
      <c r="J859" s="11"/>
      <c r="K859" s="11"/>
      <c r="L859" s="15"/>
      <c r="M859" s="15"/>
      <c r="N859" s="15"/>
      <c r="O859" s="15"/>
      <c r="P859" s="15"/>
      <c r="Q859" s="11"/>
      <c r="R859" s="11"/>
      <c r="S859" s="11"/>
      <c r="T859" s="11"/>
      <c r="U859" s="15"/>
      <c r="V859" s="11"/>
      <c r="W859" s="11"/>
      <c r="X859" s="11"/>
      <c r="Y859" s="11"/>
      <c r="Z859" s="11"/>
    </row>
    <row r="860">
      <c r="A860" s="18"/>
      <c r="B860" s="11"/>
      <c r="C860" s="11"/>
      <c r="D860" s="11"/>
      <c r="E860" s="11"/>
      <c r="F860" s="11"/>
      <c r="G860" s="11"/>
      <c r="H860" s="11"/>
      <c r="I860" s="11"/>
      <c r="J860" s="11"/>
      <c r="K860" s="11"/>
      <c r="L860" s="15"/>
      <c r="M860" s="15"/>
      <c r="N860" s="15"/>
      <c r="O860" s="15"/>
      <c r="P860" s="15"/>
      <c r="Q860" s="11"/>
      <c r="R860" s="11"/>
      <c r="S860" s="11"/>
      <c r="T860" s="11"/>
      <c r="U860" s="15"/>
      <c r="V860" s="11"/>
      <c r="W860" s="11"/>
      <c r="X860" s="11"/>
      <c r="Y860" s="11"/>
      <c r="Z860" s="11"/>
    </row>
    <row r="861">
      <c r="A861" s="18"/>
      <c r="B861" s="11"/>
      <c r="C861" s="11"/>
      <c r="D861" s="11"/>
      <c r="E861" s="11"/>
      <c r="F861" s="11"/>
      <c r="G861" s="11"/>
      <c r="H861" s="11"/>
      <c r="I861" s="11"/>
      <c r="J861" s="11"/>
      <c r="K861" s="11"/>
      <c r="L861" s="15"/>
      <c r="M861" s="15"/>
      <c r="N861" s="15"/>
      <c r="O861" s="15"/>
      <c r="P861" s="15"/>
      <c r="Q861" s="11"/>
      <c r="R861" s="11"/>
      <c r="S861" s="11"/>
      <c r="T861" s="11"/>
      <c r="U861" s="15"/>
      <c r="V861" s="11"/>
      <c r="W861" s="11"/>
      <c r="X861" s="11"/>
      <c r="Y861" s="11"/>
      <c r="Z861" s="11"/>
    </row>
    <row r="862">
      <c r="A862" s="18"/>
      <c r="B862" s="11"/>
      <c r="C862" s="11"/>
      <c r="D862" s="11"/>
      <c r="E862" s="11"/>
      <c r="F862" s="11"/>
      <c r="G862" s="11"/>
      <c r="H862" s="11"/>
      <c r="I862" s="11"/>
      <c r="J862" s="11"/>
      <c r="K862" s="11"/>
      <c r="L862" s="15"/>
      <c r="M862" s="15"/>
      <c r="N862" s="15"/>
      <c r="O862" s="15"/>
      <c r="P862" s="15"/>
      <c r="Q862" s="11"/>
      <c r="R862" s="11"/>
      <c r="S862" s="11"/>
      <c r="T862" s="11"/>
      <c r="U862" s="15"/>
      <c r="V862" s="11"/>
      <c r="W862" s="11"/>
      <c r="X862" s="11"/>
      <c r="Y862" s="11"/>
      <c r="Z862" s="11"/>
    </row>
    <row r="863">
      <c r="A863" s="18"/>
      <c r="B863" s="11"/>
      <c r="C863" s="11"/>
      <c r="D863" s="11"/>
      <c r="E863" s="11"/>
      <c r="F863" s="11"/>
      <c r="G863" s="11"/>
      <c r="H863" s="11"/>
      <c r="I863" s="11"/>
      <c r="J863" s="11"/>
      <c r="K863" s="11"/>
      <c r="L863" s="15"/>
      <c r="M863" s="15"/>
      <c r="N863" s="15"/>
      <c r="O863" s="15"/>
      <c r="P863" s="15"/>
      <c r="Q863" s="11"/>
      <c r="R863" s="11"/>
      <c r="S863" s="11"/>
      <c r="T863" s="11"/>
      <c r="U863" s="15"/>
      <c r="V863" s="11"/>
      <c r="W863" s="11"/>
      <c r="X863" s="11"/>
      <c r="Y863" s="11"/>
      <c r="Z863" s="11"/>
    </row>
    <row r="864">
      <c r="A864" s="18"/>
      <c r="B864" s="11"/>
      <c r="C864" s="11"/>
      <c r="D864" s="11"/>
      <c r="E864" s="11"/>
      <c r="F864" s="11"/>
      <c r="G864" s="11"/>
      <c r="H864" s="11"/>
      <c r="I864" s="11"/>
      <c r="J864" s="11"/>
      <c r="K864" s="11"/>
      <c r="L864" s="15"/>
      <c r="M864" s="15"/>
      <c r="N864" s="15"/>
      <c r="O864" s="15"/>
      <c r="P864" s="15"/>
      <c r="Q864" s="11"/>
      <c r="R864" s="11"/>
      <c r="S864" s="11"/>
      <c r="T864" s="11"/>
      <c r="U864" s="15"/>
      <c r="V864" s="11"/>
      <c r="W864" s="11"/>
      <c r="X864" s="11"/>
      <c r="Y864" s="11"/>
      <c r="Z864" s="11"/>
    </row>
    <row r="865">
      <c r="A865" s="18"/>
      <c r="B865" s="11"/>
      <c r="C865" s="11"/>
      <c r="D865" s="11"/>
      <c r="E865" s="11"/>
      <c r="F865" s="11"/>
      <c r="G865" s="11"/>
      <c r="H865" s="11"/>
      <c r="I865" s="11"/>
      <c r="J865" s="11"/>
      <c r="K865" s="11"/>
      <c r="L865" s="15"/>
      <c r="M865" s="15"/>
      <c r="N865" s="15"/>
      <c r="O865" s="15"/>
      <c r="P865" s="15"/>
      <c r="Q865" s="11"/>
      <c r="R865" s="11"/>
      <c r="S865" s="11"/>
      <c r="T865" s="11"/>
      <c r="U865" s="15"/>
      <c r="V865" s="11"/>
      <c r="W865" s="11"/>
      <c r="X865" s="11"/>
      <c r="Y865" s="11"/>
      <c r="Z865" s="11"/>
    </row>
    <row r="866">
      <c r="A866" s="18"/>
      <c r="B866" s="11"/>
      <c r="C866" s="11"/>
      <c r="D866" s="11"/>
      <c r="E866" s="11"/>
      <c r="F866" s="11"/>
      <c r="G866" s="11"/>
      <c r="H866" s="11"/>
      <c r="I866" s="11"/>
      <c r="J866" s="11"/>
      <c r="K866" s="11"/>
      <c r="L866" s="15"/>
      <c r="M866" s="15"/>
      <c r="N866" s="15"/>
      <c r="O866" s="15"/>
      <c r="P866" s="15"/>
      <c r="Q866" s="11"/>
      <c r="R866" s="11"/>
      <c r="S866" s="11"/>
      <c r="T866" s="11"/>
      <c r="U866" s="15"/>
      <c r="V866" s="11"/>
      <c r="W866" s="11"/>
      <c r="X866" s="11"/>
      <c r="Y866" s="11"/>
      <c r="Z866" s="11"/>
    </row>
    <row r="867">
      <c r="A867" s="18"/>
      <c r="B867" s="11"/>
      <c r="C867" s="11"/>
      <c r="D867" s="11"/>
      <c r="E867" s="11"/>
      <c r="F867" s="11"/>
      <c r="G867" s="11"/>
      <c r="H867" s="11"/>
      <c r="I867" s="11"/>
      <c r="J867" s="11"/>
      <c r="K867" s="11"/>
      <c r="L867" s="15"/>
      <c r="M867" s="15"/>
      <c r="N867" s="15"/>
      <c r="O867" s="15"/>
      <c r="P867" s="15"/>
      <c r="Q867" s="11"/>
      <c r="R867" s="11"/>
      <c r="S867" s="11"/>
      <c r="T867" s="11"/>
      <c r="U867" s="15"/>
      <c r="V867" s="11"/>
      <c r="W867" s="11"/>
      <c r="X867" s="11"/>
      <c r="Y867" s="11"/>
      <c r="Z867" s="11"/>
    </row>
    <row r="868">
      <c r="A868" s="18"/>
      <c r="B868" s="11"/>
      <c r="C868" s="11"/>
      <c r="D868" s="11"/>
      <c r="E868" s="11"/>
      <c r="F868" s="11"/>
      <c r="G868" s="11"/>
      <c r="H868" s="11"/>
      <c r="I868" s="11"/>
      <c r="J868" s="11"/>
      <c r="K868" s="11"/>
      <c r="L868" s="15"/>
      <c r="M868" s="15"/>
      <c r="N868" s="15"/>
      <c r="O868" s="15"/>
      <c r="P868" s="15"/>
      <c r="Q868" s="11"/>
      <c r="R868" s="11"/>
      <c r="S868" s="11"/>
      <c r="T868" s="11"/>
      <c r="U868" s="15"/>
      <c r="V868" s="11"/>
      <c r="W868" s="11"/>
      <c r="X868" s="11"/>
      <c r="Y868" s="11"/>
      <c r="Z868" s="11"/>
    </row>
    <row r="869">
      <c r="A869" s="18"/>
      <c r="B869" s="11"/>
      <c r="C869" s="11"/>
      <c r="D869" s="11"/>
      <c r="E869" s="11"/>
      <c r="F869" s="11"/>
      <c r="G869" s="11"/>
      <c r="H869" s="11"/>
      <c r="I869" s="11"/>
      <c r="J869" s="11"/>
      <c r="K869" s="11"/>
      <c r="L869" s="15"/>
      <c r="M869" s="15"/>
      <c r="N869" s="15"/>
      <c r="O869" s="15"/>
      <c r="P869" s="15"/>
      <c r="Q869" s="11"/>
      <c r="R869" s="11"/>
      <c r="S869" s="11"/>
      <c r="T869" s="11"/>
      <c r="U869" s="15"/>
      <c r="V869" s="11"/>
      <c r="W869" s="11"/>
      <c r="X869" s="11"/>
      <c r="Y869" s="11"/>
      <c r="Z869" s="11"/>
    </row>
    <row r="870">
      <c r="A870" s="18"/>
      <c r="B870" s="11"/>
      <c r="C870" s="11"/>
      <c r="D870" s="11"/>
      <c r="E870" s="11"/>
      <c r="F870" s="11"/>
      <c r="G870" s="11"/>
      <c r="H870" s="11"/>
      <c r="I870" s="11"/>
      <c r="J870" s="11"/>
      <c r="K870" s="11"/>
      <c r="L870" s="15"/>
      <c r="M870" s="15"/>
      <c r="N870" s="15"/>
      <c r="O870" s="15"/>
      <c r="P870" s="15"/>
      <c r="Q870" s="11"/>
      <c r="R870" s="11"/>
      <c r="S870" s="11"/>
      <c r="T870" s="11"/>
      <c r="U870" s="15"/>
      <c r="V870" s="11"/>
      <c r="W870" s="11"/>
      <c r="X870" s="11"/>
      <c r="Y870" s="11"/>
      <c r="Z870" s="11"/>
    </row>
    <row r="871">
      <c r="A871" s="18"/>
      <c r="B871" s="11"/>
      <c r="C871" s="11"/>
      <c r="D871" s="11"/>
      <c r="E871" s="11"/>
      <c r="F871" s="11"/>
      <c r="G871" s="11"/>
      <c r="H871" s="11"/>
      <c r="I871" s="11"/>
      <c r="J871" s="11"/>
      <c r="K871" s="11"/>
      <c r="L871" s="15"/>
      <c r="M871" s="15"/>
      <c r="N871" s="15"/>
      <c r="O871" s="15"/>
      <c r="P871" s="15"/>
      <c r="Q871" s="11"/>
      <c r="R871" s="11"/>
      <c r="S871" s="11"/>
      <c r="T871" s="11"/>
      <c r="U871" s="15"/>
      <c r="V871" s="11"/>
      <c r="W871" s="11"/>
      <c r="X871" s="11"/>
      <c r="Y871" s="11"/>
      <c r="Z871" s="11"/>
    </row>
    <row r="872">
      <c r="A872" s="18"/>
      <c r="B872" s="11"/>
      <c r="C872" s="11"/>
      <c r="D872" s="11"/>
      <c r="E872" s="11"/>
      <c r="F872" s="11"/>
      <c r="G872" s="11"/>
      <c r="H872" s="11"/>
      <c r="I872" s="11"/>
      <c r="J872" s="11"/>
      <c r="K872" s="11"/>
      <c r="L872" s="15"/>
      <c r="M872" s="15"/>
      <c r="N872" s="15"/>
      <c r="O872" s="15"/>
      <c r="P872" s="15"/>
      <c r="Q872" s="11"/>
      <c r="R872" s="11"/>
      <c r="S872" s="11"/>
      <c r="T872" s="11"/>
      <c r="U872" s="15"/>
      <c r="V872" s="11"/>
      <c r="W872" s="11"/>
      <c r="X872" s="11"/>
      <c r="Y872" s="11"/>
      <c r="Z872" s="11"/>
    </row>
    <row r="873">
      <c r="A873" s="18"/>
      <c r="B873" s="11"/>
      <c r="C873" s="11"/>
      <c r="D873" s="11"/>
      <c r="E873" s="11"/>
      <c r="F873" s="11"/>
      <c r="G873" s="11"/>
      <c r="H873" s="11"/>
      <c r="I873" s="11"/>
      <c r="J873" s="11"/>
      <c r="K873" s="11"/>
      <c r="L873" s="15"/>
      <c r="M873" s="15"/>
      <c r="N873" s="15"/>
      <c r="O873" s="15"/>
      <c r="P873" s="15"/>
      <c r="Q873" s="11"/>
      <c r="R873" s="11"/>
      <c r="S873" s="11"/>
      <c r="T873" s="11"/>
      <c r="U873" s="15"/>
      <c r="V873" s="11"/>
      <c r="W873" s="11"/>
      <c r="X873" s="11"/>
      <c r="Y873" s="11"/>
      <c r="Z873" s="11"/>
    </row>
    <row r="874">
      <c r="A874" s="18"/>
      <c r="B874" s="11"/>
      <c r="C874" s="11"/>
      <c r="D874" s="11"/>
      <c r="E874" s="11"/>
      <c r="F874" s="11"/>
      <c r="G874" s="11"/>
      <c r="H874" s="11"/>
      <c r="I874" s="11"/>
      <c r="J874" s="11"/>
      <c r="K874" s="11"/>
      <c r="L874" s="15"/>
      <c r="M874" s="15"/>
      <c r="N874" s="15"/>
      <c r="O874" s="15"/>
      <c r="P874" s="15"/>
      <c r="Q874" s="11"/>
      <c r="R874" s="11"/>
      <c r="S874" s="11"/>
      <c r="T874" s="11"/>
      <c r="U874" s="15"/>
      <c r="V874" s="11"/>
      <c r="W874" s="11"/>
      <c r="X874" s="11"/>
      <c r="Y874" s="11"/>
      <c r="Z874" s="11"/>
    </row>
    <row r="875">
      <c r="A875" s="18"/>
      <c r="B875" s="11"/>
      <c r="C875" s="11"/>
      <c r="D875" s="11"/>
      <c r="E875" s="11"/>
      <c r="F875" s="11"/>
      <c r="G875" s="11"/>
      <c r="H875" s="11"/>
      <c r="I875" s="11"/>
      <c r="J875" s="11"/>
      <c r="K875" s="11"/>
      <c r="L875" s="15"/>
      <c r="M875" s="15"/>
      <c r="N875" s="15"/>
      <c r="O875" s="15"/>
      <c r="P875" s="15"/>
      <c r="Q875" s="11"/>
      <c r="R875" s="11"/>
      <c r="S875" s="11"/>
      <c r="T875" s="11"/>
      <c r="U875" s="15"/>
      <c r="V875" s="11"/>
      <c r="W875" s="11"/>
      <c r="X875" s="11"/>
      <c r="Y875" s="11"/>
      <c r="Z875" s="11"/>
    </row>
    <row r="876">
      <c r="A876" s="18"/>
      <c r="B876" s="11"/>
      <c r="C876" s="11"/>
      <c r="D876" s="11"/>
      <c r="E876" s="11"/>
      <c r="F876" s="11"/>
      <c r="G876" s="11"/>
      <c r="H876" s="11"/>
      <c r="I876" s="11"/>
      <c r="J876" s="11"/>
      <c r="K876" s="11"/>
      <c r="L876" s="15"/>
      <c r="M876" s="15"/>
      <c r="N876" s="15"/>
      <c r="O876" s="15"/>
      <c r="P876" s="15"/>
      <c r="Q876" s="11"/>
      <c r="R876" s="11"/>
      <c r="S876" s="11"/>
      <c r="T876" s="11"/>
      <c r="U876" s="15"/>
      <c r="V876" s="11"/>
      <c r="W876" s="11"/>
      <c r="X876" s="11"/>
      <c r="Y876" s="11"/>
      <c r="Z876" s="11"/>
    </row>
    <row r="877">
      <c r="A877" s="18"/>
      <c r="B877" s="11"/>
      <c r="C877" s="11"/>
      <c r="D877" s="11"/>
      <c r="E877" s="11"/>
      <c r="F877" s="11"/>
      <c r="G877" s="11"/>
      <c r="H877" s="11"/>
      <c r="I877" s="11"/>
      <c r="J877" s="11"/>
      <c r="K877" s="11"/>
      <c r="L877" s="15"/>
      <c r="M877" s="15"/>
      <c r="N877" s="15"/>
      <c r="O877" s="15"/>
      <c r="P877" s="15"/>
      <c r="Q877" s="11"/>
      <c r="R877" s="11"/>
      <c r="S877" s="11"/>
      <c r="T877" s="11"/>
      <c r="U877" s="15"/>
      <c r="V877" s="11"/>
      <c r="W877" s="11"/>
      <c r="X877" s="11"/>
      <c r="Y877" s="11"/>
      <c r="Z877" s="11"/>
    </row>
    <row r="878">
      <c r="A878" s="18"/>
      <c r="B878" s="11"/>
      <c r="C878" s="11"/>
      <c r="D878" s="11"/>
      <c r="E878" s="11"/>
      <c r="F878" s="11"/>
      <c r="G878" s="11"/>
      <c r="H878" s="11"/>
      <c r="I878" s="11"/>
      <c r="J878" s="11"/>
      <c r="K878" s="11"/>
      <c r="L878" s="15"/>
      <c r="M878" s="15"/>
      <c r="N878" s="15"/>
      <c r="O878" s="15"/>
      <c r="P878" s="15"/>
      <c r="Q878" s="11"/>
      <c r="R878" s="11"/>
      <c r="S878" s="11"/>
      <c r="T878" s="11"/>
      <c r="U878" s="15"/>
      <c r="V878" s="11"/>
      <c r="W878" s="11"/>
      <c r="X878" s="11"/>
      <c r="Y878" s="11"/>
      <c r="Z878" s="11"/>
    </row>
    <row r="879">
      <c r="A879" s="18"/>
      <c r="B879" s="11"/>
      <c r="C879" s="11"/>
      <c r="D879" s="11"/>
      <c r="E879" s="11"/>
      <c r="F879" s="11"/>
      <c r="G879" s="11"/>
      <c r="H879" s="11"/>
      <c r="I879" s="11"/>
      <c r="J879" s="11"/>
      <c r="K879" s="11"/>
      <c r="L879" s="15"/>
      <c r="M879" s="15"/>
      <c r="N879" s="15"/>
      <c r="O879" s="15"/>
      <c r="P879" s="15"/>
      <c r="Q879" s="11"/>
      <c r="R879" s="11"/>
      <c r="S879" s="11"/>
      <c r="T879" s="11"/>
      <c r="U879" s="15"/>
      <c r="V879" s="11"/>
      <c r="W879" s="11"/>
      <c r="X879" s="11"/>
      <c r="Y879" s="11"/>
      <c r="Z879" s="11"/>
    </row>
    <row r="880">
      <c r="A880" s="18"/>
      <c r="B880" s="11"/>
      <c r="C880" s="11"/>
      <c r="D880" s="11"/>
      <c r="E880" s="11"/>
      <c r="F880" s="11"/>
      <c r="G880" s="11"/>
      <c r="H880" s="11"/>
      <c r="I880" s="11"/>
      <c r="J880" s="11"/>
      <c r="K880" s="11"/>
      <c r="L880" s="15"/>
      <c r="M880" s="15"/>
      <c r="N880" s="15"/>
      <c r="O880" s="15"/>
      <c r="P880" s="15"/>
      <c r="Q880" s="11"/>
      <c r="R880" s="11"/>
      <c r="S880" s="11"/>
      <c r="T880" s="11"/>
      <c r="U880" s="15"/>
      <c r="V880" s="11"/>
      <c r="W880" s="11"/>
      <c r="X880" s="11"/>
      <c r="Y880" s="11"/>
      <c r="Z880" s="11"/>
    </row>
    <row r="881">
      <c r="A881" s="18"/>
      <c r="B881" s="11"/>
      <c r="C881" s="11"/>
      <c r="D881" s="11"/>
      <c r="E881" s="11"/>
      <c r="F881" s="11"/>
      <c r="G881" s="11"/>
      <c r="H881" s="11"/>
      <c r="I881" s="11"/>
      <c r="J881" s="11"/>
      <c r="K881" s="11"/>
      <c r="L881" s="15"/>
      <c r="M881" s="15"/>
      <c r="N881" s="15"/>
      <c r="O881" s="15"/>
      <c r="P881" s="15"/>
      <c r="Q881" s="11"/>
      <c r="R881" s="11"/>
      <c r="S881" s="11"/>
      <c r="T881" s="11"/>
      <c r="U881" s="15"/>
      <c r="V881" s="11"/>
      <c r="W881" s="11"/>
      <c r="X881" s="11"/>
      <c r="Y881" s="11"/>
      <c r="Z881" s="11"/>
    </row>
    <row r="882">
      <c r="A882" s="18"/>
      <c r="B882" s="11"/>
      <c r="C882" s="11"/>
      <c r="D882" s="11"/>
      <c r="E882" s="11"/>
      <c r="F882" s="11"/>
      <c r="G882" s="11"/>
      <c r="H882" s="11"/>
      <c r="I882" s="11"/>
      <c r="J882" s="11"/>
      <c r="K882" s="11"/>
      <c r="L882" s="15"/>
      <c r="M882" s="15"/>
      <c r="N882" s="15"/>
      <c r="O882" s="15"/>
      <c r="P882" s="15"/>
      <c r="Q882" s="11"/>
      <c r="R882" s="11"/>
      <c r="S882" s="11"/>
      <c r="T882" s="11"/>
      <c r="U882" s="15"/>
      <c r="V882" s="11"/>
      <c r="W882" s="11"/>
      <c r="X882" s="11"/>
      <c r="Y882" s="11"/>
      <c r="Z882" s="11"/>
    </row>
    <row r="883">
      <c r="A883" s="18"/>
      <c r="B883" s="11"/>
      <c r="C883" s="11"/>
      <c r="D883" s="11"/>
      <c r="E883" s="11"/>
      <c r="F883" s="11"/>
      <c r="G883" s="11"/>
      <c r="H883" s="11"/>
      <c r="I883" s="11"/>
      <c r="J883" s="11"/>
      <c r="K883" s="11"/>
      <c r="L883" s="15"/>
      <c r="M883" s="15"/>
      <c r="N883" s="15"/>
      <c r="O883" s="15"/>
      <c r="P883" s="15"/>
      <c r="Q883" s="11"/>
      <c r="R883" s="11"/>
      <c r="S883" s="11"/>
      <c r="T883" s="11"/>
      <c r="U883" s="15"/>
      <c r="V883" s="11"/>
      <c r="W883" s="11"/>
      <c r="X883" s="11"/>
      <c r="Y883" s="11"/>
      <c r="Z883" s="11"/>
    </row>
    <row r="884">
      <c r="A884" s="18"/>
      <c r="B884" s="11"/>
      <c r="C884" s="11"/>
      <c r="D884" s="11"/>
      <c r="E884" s="11"/>
      <c r="F884" s="11"/>
      <c r="G884" s="11"/>
      <c r="H884" s="11"/>
      <c r="I884" s="11"/>
      <c r="J884" s="11"/>
      <c r="K884" s="11"/>
      <c r="L884" s="15"/>
      <c r="M884" s="15"/>
      <c r="N884" s="15"/>
      <c r="O884" s="15"/>
      <c r="P884" s="15"/>
      <c r="Q884" s="11"/>
      <c r="R884" s="11"/>
      <c r="S884" s="11"/>
      <c r="T884" s="11"/>
      <c r="U884" s="15"/>
      <c r="V884" s="11"/>
      <c r="W884" s="11"/>
      <c r="X884" s="11"/>
      <c r="Y884" s="11"/>
      <c r="Z884" s="11"/>
    </row>
    <row r="885">
      <c r="A885" s="18"/>
      <c r="B885" s="11"/>
      <c r="C885" s="11"/>
      <c r="D885" s="11"/>
      <c r="E885" s="11"/>
      <c r="F885" s="11"/>
      <c r="G885" s="11"/>
      <c r="H885" s="11"/>
      <c r="I885" s="11"/>
      <c r="J885" s="11"/>
      <c r="K885" s="11"/>
      <c r="L885" s="15"/>
      <c r="M885" s="15"/>
      <c r="N885" s="15"/>
      <c r="O885" s="15"/>
      <c r="P885" s="15"/>
      <c r="Q885" s="11"/>
      <c r="R885" s="11"/>
      <c r="S885" s="11"/>
      <c r="T885" s="11"/>
      <c r="U885" s="15"/>
      <c r="V885" s="11"/>
      <c r="W885" s="11"/>
      <c r="X885" s="11"/>
      <c r="Y885" s="11"/>
      <c r="Z885" s="11"/>
    </row>
    <row r="886">
      <c r="A886" s="18"/>
      <c r="B886" s="11"/>
      <c r="C886" s="11"/>
      <c r="D886" s="11"/>
      <c r="E886" s="11"/>
      <c r="F886" s="11"/>
      <c r="G886" s="11"/>
      <c r="H886" s="11"/>
      <c r="I886" s="11"/>
      <c r="J886" s="11"/>
      <c r="K886" s="11"/>
      <c r="L886" s="15"/>
      <c r="M886" s="15"/>
      <c r="N886" s="15"/>
      <c r="O886" s="15"/>
      <c r="P886" s="15"/>
      <c r="Q886" s="11"/>
      <c r="R886" s="11"/>
      <c r="S886" s="11"/>
      <c r="T886" s="11"/>
      <c r="U886" s="15"/>
      <c r="V886" s="11"/>
      <c r="W886" s="11"/>
      <c r="X886" s="11"/>
      <c r="Y886" s="11"/>
      <c r="Z886" s="11"/>
    </row>
    <row r="887">
      <c r="A887" s="18"/>
      <c r="B887" s="11"/>
      <c r="C887" s="11"/>
      <c r="D887" s="11"/>
      <c r="E887" s="11"/>
      <c r="F887" s="11"/>
      <c r="G887" s="11"/>
      <c r="H887" s="11"/>
      <c r="I887" s="11"/>
      <c r="J887" s="11"/>
      <c r="K887" s="11"/>
      <c r="L887" s="15"/>
      <c r="M887" s="15"/>
      <c r="N887" s="15"/>
      <c r="O887" s="15"/>
      <c r="P887" s="15"/>
      <c r="Q887" s="11"/>
      <c r="R887" s="11"/>
      <c r="S887" s="11"/>
      <c r="T887" s="11"/>
      <c r="U887" s="15"/>
      <c r="V887" s="11"/>
      <c r="W887" s="11"/>
      <c r="X887" s="11"/>
      <c r="Y887" s="11"/>
      <c r="Z887" s="11"/>
    </row>
    <row r="888">
      <c r="A888" s="18"/>
      <c r="B888" s="11"/>
      <c r="C888" s="11"/>
      <c r="D888" s="11"/>
      <c r="E888" s="11"/>
      <c r="F888" s="11"/>
      <c r="G888" s="11"/>
      <c r="H888" s="11"/>
      <c r="I888" s="11"/>
      <c r="J888" s="11"/>
      <c r="K888" s="11"/>
      <c r="L888" s="15"/>
      <c r="M888" s="15"/>
      <c r="N888" s="15"/>
      <c r="O888" s="15"/>
      <c r="P888" s="15"/>
      <c r="Q888" s="11"/>
      <c r="R888" s="11"/>
      <c r="S888" s="11"/>
      <c r="T888" s="11"/>
      <c r="U888" s="15"/>
      <c r="V888" s="11"/>
      <c r="W888" s="11"/>
      <c r="X888" s="11"/>
      <c r="Y888" s="11"/>
      <c r="Z888" s="11"/>
    </row>
    <row r="889">
      <c r="A889" s="18"/>
      <c r="B889" s="11"/>
      <c r="C889" s="11"/>
      <c r="D889" s="11"/>
      <c r="E889" s="11"/>
      <c r="F889" s="11"/>
      <c r="G889" s="11"/>
      <c r="H889" s="11"/>
      <c r="I889" s="11"/>
      <c r="J889" s="11"/>
      <c r="K889" s="11"/>
      <c r="L889" s="15"/>
      <c r="M889" s="15"/>
      <c r="N889" s="15"/>
      <c r="O889" s="15"/>
      <c r="P889" s="15"/>
      <c r="Q889" s="11"/>
      <c r="R889" s="11"/>
      <c r="S889" s="11"/>
      <c r="T889" s="11"/>
      <c r="U889" s="15"/>
      <c r="V889" s="11"/>
      <c r="W889" s="11"/>
      <c r="X889" s="11"/>
      <c r="Y889" s="11"/>
      <c r="Z889" s="11"/>
    </row>
    <row r="890">
      <c r="A890" s="18"/>
      <c r="B890" s="11"/>
      <c r="C890" s="11"/>
      <c r="D890" s="11"/>
      <c r="E890" s="11"/>
      <c r="F890" s="11"/>
      <c r="G890" s="11"/>
      <c r="H890" s="11"/>
      <c r="I890" s="11"/>
      <c r="J890" s="11"/>
      <c r="K890" s="11"/>
      <c r="L890" s="15"/>
      <c r="M890" s="15"/>
      <c r="N890" s="15"/>
      <c r="O890" s="15"/>
      <c r="P890" s="15"/>
      <c r="Q890" s="11"/>
      <c r="R890" s="11"/>
      <c r="S890" s="11"/>
      <c r="T890" s="11"/>
      <c r="U890" s="15"/>
      <c r="V890" s="11"/>
      <c r="W890" s="11"/>
      <c r="X890" s="11"/>
      <c r="Y890" s="11"/>
      <c r="Z890" s="11"/>
    </row>
    <row r="891">
      <c r="A891" s="18"/>
      <c r="B891" s="11"/>
      <c r="C891" s="11"/>
      <c r="D891" s="11"/>
      <c r="E891" s="11"/>
      <c r="F891" s="11"/>
      <c r="G891" s="11"/>
      <c r="H891" s="11"/>
      <c r="I891" s="11"/>
      <c r="J891" s="11"/>
      <c r="K891" s="11"/>
      <c r="L891" s="15"/>
      <c r="M891" s="15"/>
      <c r="N891" s="15"/>
      <c r="O891" s="15"/>
      <c r="P891" s="15"/>
      <c r="Q891" s="11"/>
      <c r="R891" s="11"/>
      <c r="S891" s="11"/>
      <c r="T891" s="11"/>
      <c r="U891" s="15"/>
      <c r="V891" s="11"/>
      <c r="W891" s="11"/>
      <c r="X891" s="11"/>
      <c r="Y891" s="11"/>
      <c r="Z891" s="11"/>
    </row>
    <row r="892">
      <c r="A892" s="18"/>
      <c r="B892" s="11"/>
      <c r="C892" s="11"/>
      <c r="D892" s="11"/>
      <c r="E892" s="11"/>
      <c r="F892" s="11"/>
      <c r="G892" s="11"/>
      <c r="H892" s="11"/>
      <c r="I892" s="11"/>
      <c r="J892" s="11"/>
      <c r="K892" s="11"/>
      <c r="L892" s="15"/>
      <c r="M892" s="15"/>
      <c r="N892" s="15"/>
      <c r="O892" s="15"/>
      <c r="P892" s="15"/>
      <c r="Q892" s="11"/>
      <c r="R892" s="11"/>
      <c r="S892" s="11"/>
      <c r="T892" s="11"/>
      <c r="U892" s="15"/>
      <c r="V892" s="11"/>
      <c r="W892" s="11"/>
      <c r="X892" s="11"/>
      <c r="Y892" s="11"/>
      <c r="Z892" s="11"/>
    </row>
    <row r="893">
      <c r="A893" s="18"/>
      <c r="B893" s="11"/>
      <c r="C893" s="11"/>
      <c r="D893" s="11"/>
      <c r="E893" s="11"/>
      <c r="F893" s="11"/>
      <c r="G893" s="11"/>
      <c r="H893" s="11"/>
      <c r="I893" s="11"/>
      <c r="J893" s="11"/>
      <c r="K893" s="11"/>
      <c r="L893" s="15"/>
      <c r="M893" s="15"/>
      <c r="N893" s="15"/>
      <c r="O893" s="15"/>
      <c r="P893" s="15"/>
      <c r="Q893" s="11"/>
      <c r="R893" s="11"/>
      <c r="S893" s="11"/>
      <c r="T893" s="11"/>
      <c r="U893" s="15"/>
      <c r="V893" s="11"/>
      <c r="W893" s="11"/>
      <c r="X893" s="11"/>
      <c r="Y893" s="11"/>
      <c r="Z893" s="11"/>
    </row>
    <row r="894">
      <c r="A894" s="18"/>
      <c r="B894" s="11"/>
      <c r="C894" s="11"/>
      <c r="D894" s="11"/>
      <c r="E894" s="11"/>
      <c r="F894" s="11"/>
      <c r="G894" s="11"/>
      <c r="H894" s="11"/>
      <c r="I894" s="11"/>
      <c r="J894" s="11"/>
      <c r="K894" s="11"/>
      <c r="L894" s="15"/>
      <c r="M894" s="15"/>
      <c r="N894" s="15"/>
      <c r="O894" s="15"/>
      <c r="P894" s="15"/>
      <c r="Q894" s="11"/>
      <c r="R894" s="11"/>
      <c r="S894" s="11"/>
      <c r="T894" s="11"/>
      <c r="U894" s="15"/>
      <c r="V894" s="11"/>
      <c r="W894" s="11"/>
      <c r="X894" s="11"/>
      <c r="Y894" s="11"/>
      <c r="Z894" s="11"/>
    </row>
    <row r="895">
      <c r="A895" s="18"/>
      <c r="B895" s="11"/>
      <c r="C895" s="11"/>
      <c r="D895" s="11"/>
      <c r="E895" s="11"/>
      <c r="F895" s="11"/>
      <c r="G895" s="11"/>
      <c r="H895" s="11"/>
      <c r="I895" s="11"/>
      <c r="J895" s="11"/>
      <c r="K895" s="11"/>
      <c r="L895" s="15"/>
      <c r="M895" s="15"/>
      <c r="N895" s="15"/>
      <c r="O895" s="15"/>
      <c r="P895" s="15"/>
      <c r="Q895" s="11"/>
      <c r="R895" s="11"/>
      <c r="S895" s="11"/>
      <c r="T895" s="11"/>
      <c r="U895" s="15"/>
      <c r="V895" s="11"/>
      <c r="W895" s="11"/>
      <c r="X895" s="11"/>
      <c r="Y895" s="11"/>
      <c r="Z895" s="11"/>
    </row>
    <row r="896">
      <c r="A896" s="18"/>
      <c r="B896" s="11"/>
      <c r="C896" s="11"/>
      <c r="D896" s="11"/>
      <c r="E896" s="11"/>
      <c r="F896" s="11"/>
      <c r="G896" s="11"/>
      <c r="H896" s="11"/>
      <c r="I896" s="11"/>
      <c r="J896" s="11"/>
      <c r="K896" s="11"/>
      <c r="L896" s="15"/>
      <c r="M896" s="15"/>
      <c r="N896" s="15"/>
      <c r="O896" s="15"/>
      <c r="P896" s="15"/>
      <c r="Q896" s="11"/>
      <c r="R896" s="11"/>
      <c r="S896" s="11"/>
      <c r="T896" s="11"/>
      <c r="U896" s="15"/>
      <c r="V896" s="11"/>
      <c r="W896" s="11"/>
      <c r="X896" s="11"/>
      <c r="Y896" s="11"/>
      <c r="Z896" s="11"/>
    </row>
    <row r="897">
      <c r="A897" s="18"/>
      <c r="B897" s="11"/>
      <c r="C897" s="11"/>
      <c r="D897" s="11"/>
      <c r="E897" s="11"/>
      <c r="F897" s="11"/>
      <c r="G897" s="11"/>
      <c r="H897" s="11"/>
      <c r="I897" s="11"/>
      <c r="J897" s="11"/>
      <c r="K897" s="11"/>
      <c r="L897" s="15"/>
      <c r="M897" s="15"/>
      <c r="N897" s="15"/>
      <c r="O897" s="15"/>
      <c r="P897" s="15"/>
      <c r="Q897" s="11"/>
      <c r="R897" s="11"/>
      <c r="S897" s="11"/>
      <c r="T897" s="11"/>
      <c r="U897" s="15"/>
      <c r="V897" s="11"/>
      <c r="W897" s="11"/>
      <c r="X897" s="11"/>
      <c r="Y897" s="11"/>
      <c r="Z897" s="11"/>
    </row>
    <row r="898">
      <c r="A898" s="18"/>
      <c r="B898" s="11"/>
      <c r="C898" s="11"/>
      <c r="D898" s="11"/>
      <c r="E898" s="11"/>
      <c r="F898" s="11"/>
      <c r="G898" s="11"/>
      <c r="H898" s="11"/>
      <c r="I898" s="11"/>
      <c r="J898" s="11"/>
      <c r="K898" s="11"/>
      <c r="L898" s="15"/>
      <c r="M898" s="15"/>
      <c r="N898" s="15"/>
      <c r="O898" s="15"/>
      <c r="P898" s="15"/>
      <c r="Q898" s="11"/>
      <c r="R898" s="11"/>
      <c r="S898" s="11"/>
      <c r="T898" s="11"/>
      <c r="U898" s="15"/>
      <c r="V898" s="11"/>
      <c r="W898" s="11"/>
      <c r="X898" s="11"/>
      <c r="Y898" s="11"/>
      <c r="Z898" s="11"/>
    </row>
    <row r="899">
      <c r="A899" s="18"/>
      <c r="B899" s="11"/>
      <c r="C899" s="11"/>
      <c r="D899" s="11"/>
      <c r="E899" s="11"/>
      <c r="F899" s="11"/>
      <c r="G899" s="11"/>
      <c r="H899" s="11"/>
      <c r="I899" s="11"/>
      <c r="J899" s="11"/>
      <c r="K899" s="11"/>
      <c r="L899" s="15"/>
      <c r="M899" s="15"/>
      <c r="N899" s="15"/>
      <c r="O899" s="15"/>
      <c r="P899" s="15"/>
      <c r="Q899" s="11"/>
      <c r="R899" s="11"/>
      <c r="S899" s="11"/>
      <c r="T899" s="11"/>
      <c r="U899" s="15"/>
      <c r="V899" s="11"/>
      <c r="W899" s="11"/>
      <c r="X899" s="11"/>
      <c r="Y899" s="11"/>
      <c r="Z899" s="11"/>
    </row>
    <row r="900">
      <c r="A900" s="18"/>
      <c r="B900" s="11"/>
      <c r="C900" s="11"/>
      <c r="D900" s="11"/>
      <c r="E900" s="11"/>
      <c r="F900" s="11"/>
      <c r="G900" s="11"/>
      <c r="H900" s="11"/>
      <c r="I900" s="11"/>
      <c r="J900" s="11"/>
      <c r="K900" s="11"/>
      <c r="L900" s="15"/>
      <c r="M900" s="15"/>
      <c r="N900" s="15"/>
      <c r="O900" s="15"/>
      <c r="P900" s="15"/>
      <c r="Q900" s="11"/>
      <c r="R900" s="11"/>
      <c r="S900" s="11"/>
      <c r="T900" s="11"/>
      <c r="U900" s="15"/>
      <c r="V900" s="11"/>
      <c r="W900" s="11"/>
      <c r="X900" s="11"/>
      <c r="Y900" s="11"/>
      <c r="Z900" s="11"/>
    </row>
    <row r="901">
      <c r="A901" s="18"/>
      <c r="B901" s="11"/>
      <c r="C901" s="11"/>
      <c r="D901" s="11"/>
      <c r="E901" s="11"/>
      <c r="F901" s="11"/>
      <c r="G901" s="11"/>
      <c r="H901" s="11"/>
      <c r="I901" s="11"/>
      <c r="J901" s="11"/>
      <c r="K901" s="11"/>
      <c r="L901" s="15"/>
      <c r="M901" s="15"/>
      <c r="N901" s="15"/>
      <c r="O901" s="15"/>
      <c r="P901" s="15"/>
      <c r="Q901" s="11"/>
      <c r="R901" s="11"/>
      <c r="S901" s="11"/>
      <c r="T901" s="11"/>
      <c r="U901" s="15"/>
      <c r="V901" s="11"/>
      <c r="W901" s="11"/>
      <c r="X901" s="11"/>
      <c r="Y901" s="11"/>
      <c r="Z901" s="11"/>
    </row>
    <row r="902">
      <c r="A902" s="18"/>
      <c r="B902" s="11"/>
      <c r="C902" s="11"/>
      <c r="D902" s="11"/>
      <c r="E902" s="11"/>
      <c r="F902" s="11"/>
      <c r="G902" s="11"/>
      <c r="H902" s="11"/>
      <c r="I902" s="11"/>
      <c r="J902" s="11"/>
      <c r="K902" s="11"/>
      <c r="L902" s="15"/>
      <c r="M902" s="15"/>
      <c r="N902" s="15"/>
      <c r="O902" s="15"/>
      <c r="P902" s="15"/>
      <c r="Q902" s="11"/>
      <c r="R902" s="11"/>
      <c r="S902" s="11"/>
      <c r="T902" s="11"/>
      <c r="U902" s="15"/>
      <c r="V902" s="11"/>
      <c r="W902" s="11"/>
      <c r="X902" s="11"/>
      <c r="Y902" s="11"/>
      <c r="Z902" s="11"/>
    </row>
    <row r="903">
      <c r="A903" s="18"/>
      <c r="B903" s="11"/>
      <c r="C903" s="11"/>
      <c r="D903" s="11"/>
      <c r="E903" s="11"/>
      <c r="F903" s="11"/>
      <c r="G903" s="11"/>
      <c r="H903" s="11"/>
      <c r="I903" s="11"/>
      <c r="J903" s="11"/>
      <c r="K903" s="11"/>
      <c r="L903" s="15"/>
      <c r="M903" s="15"/>
      <c r="N903" s="15"/>
      <c r="O903" s="15"/>
      <c r="P903" s="15"/>
      <c r="Q903" s="11"/>
      <c r="R903" s="11"/>
      <c r="S903" s="11"/>
      <c r="T903" s="11"/>
      <c r="U903" s="15"/>
      <c r="V903" s="11"/>
      <c r="W903" s="11"/>
      <c r="X903" s="11"/>
      <c r="Y903" s="11"/>
      <c r="Z903" s="11"/>
    </row>
    <row r="904">
      <c r="A904" s="18"/>
      <c r="B904" s="11"/>
      <c r="C904" s="11"/>
      <c r="D904" s="11"/>
      <c r="E904" s="11"/>
      <c r="F904" s="11"/>
      <c r="G904" s="11"/>
      <c r="H904" s="11"/>
      <c r="I904" s="11"/>
      <c r="J904" s="11"/>
      <c r="K904" s="11"/>
      <c r="L904" s="15"/>
      <c r="M904" s="15"/>
      <c r="N904" s="15"/>
      <c r="O904" s="15"/>
      <c r="P904" s="15"/>
      <c r="Q904" s="11"/>
      <c r="R904" s="11"/>
      <c r="S904" s="11"/>
      <c r="T904" s="11"/>
      <c r="U904" s="15"/>
      <c r="V904" s="11"/>
      <c r="W904" s="11"/>
      <c r="X904" s="11"/>
      <c r="Y904" s="11"/>
      <c r="Z904" s="11"/>
    </row>
    <row r="905">
      <c r="A905" s="18"/>
      <c r="B905" s="11"/>
      <c r="C905" s="11"/>
      <c r="D905" s="11"/>
      <c r="E905" s="11"/>
      <c r="F905" s="11"/>
      <c r="G905" s="11"/>
      <c r="H905" s="11"/>
      <c r="I905" s="11"/>
      <c r="J905" s="11"/>
      <c r="K905" s="11"/>
      <c r="L905" s="15"/>
      <c r="M905" s="15"/>
      <c r="N905" s="15"/>
      <c r="O905" s="15"/>
      <c r="P905" s="15"/>
      <c r="Q905" s="11"/>
      <c r="R905" s="11"/>
      <c r="S905" s="11"/>
      <c r="T905" s="11"/>
      <c r="U905" s="15"/>
      <c r="V905" s="11"/>
      <c r="W905" s="11"/>
      <c r="X905" s="11"/>
      <c r="Y905" s="11"/>
      <c r="Z905" s="11"/>
    </row>
    <row r="906">
      <c r="A906" s="18"/>
      <c r="B906" s="11"/>
      <c r="C906" s="11"/>
      <c r="D906" s="11"/>
      <c r="E906" s="11"/>
      <c r="F906" s="11"/>
      <c r="G906" s="11"/>
      <c r="H906" s="11"/>
      <c r="I906" s="11"/>
      <c r="J906" s="11"/>
      <c r="K906" s="11"/>
      <c r="L906" s="15"/>
      <c r="M906" s="15"/>
      <c r="N906" s="15"/>
      <c r="O906" s="15"/>
      <c r="P906" s="15"/>
      <c r="Q906" s="11"/>
      <c r="R906" s="11"/>
      <c r="S906" s="11"/>
      <c r="T906" s="11"/>
      <c r="U906" s="15"/>
      <c r="V906" s="11"/>
      <c r="W906" s="11"/>
      <c r="X906" s="11"/>
      <c r="Y906" s="11"/>
      <c r="Z906" s="11"/>
    </row>
    <row r="907">
      <c r="A907" s="18"/>
      <c r="B907" s="11"/>
      <c r="C907" s="11"/>
      <c r="D907" s="11"/>
      <c r="E907" s="11"/>
      <c r="F907" s="11"/>
      <c r="G907" s="11"/>
      <c r="H907" s="11"/>
      <c r="I907" s="11"/>
      <c r="J907" s="11"/>
      <c r="K907" s="11"/>
      <c r="L907" s="15"/>
      <c r="M907" s="15"/>
      <c r="N907" s="15"/>
      <c r="O907" s="15"/>
      <c r="P907" s="15"/>
      <c r="Q907" s="11"/>
      <c r="R907" s="11"/>
      <c r="S907" s="11"/>
      <c r="T907" s="11"/>
      <c r="U907" s="15"/>
      <c r="V907" s="11"/>
      <c r="W907" s="11"/>
      <c r="X907" s="11"/>
      <c r="Y907" s="11"/>
      <c r="Z907" s="11"/>
    </row>
    <row r="908">
      <c r="A908" s="18"/>
      <c r="B908" s="11"/>
      <c r="C908" s="11"/>
      <c r="D908" s="11"/>
      <c r="E908" s="11"/>
      <c r="F908" s="11"/>
      <c r="G908" s="11"/>
      <c r="H908" s="11"/>
      <c r="I908" s="11"/>
      <c r="J908" s="11"/>
      <c r="K908" s="11"/>
      <c r="L908" s="15"/>
      <c r="M908" s="15"/>
      <c r="N908" s="15"/>
      <c r="O908" s="15"/>
      <c r="P908" s="15"/>
      <c r="Q908" s="11"/>
      <c r="R908" s="11"/>
      <c r="S908" s="11"/>
      <c r="T908" s="11"/>
      <c r="U908" s="15"/>
      <c r="V908" s="11"/>
      <c r="W908" s="11"/>
      <c r="X908" s="11"/>
      <c r="Y908" s="11"/>
      <c r="Z908" s="11"/>
    </row>
    <row r="909">
      <c r="A909" s="18"/>
      <c r="B909" s="11"/>
      <c r="C909" s="11"/>
      <c r="D909" s="11"/>
      <c r="E909" s="11"/>
      <c r="F909" s="11"/>
      <c r="G909" s="11"/>
      <c r="H909" s="11"/>
      <c r="I909" s="11"/>
      <c r="J909" s="11"/>
      <c r="K909" s="11"/>
      <c r="L909" s="15"/>
      <c r="M909" s="15"/>
      <c r="N909" s="15"/>
      <c r="O909" s="15"/>
      <c r="P909" s="15"/>
      <c r="Q909" s="11"/>
      <c r="R909" s="11"/>
      <c r="S909" s="11"/>
      <c r="T909" s="11"/>
      <c r="U909" s="15"/>
      <c r="V909" s="11"/>
      <c r="W909" s="11"/>
      <c r="X909" s="11"/>
      <c r="Y909" s="11"/>
      <c r="Z909" s="11"/>
    </row>
    <row r="910">
      <c r="A910" s="18"/>
      <c r="B910" s="11"/>
      <c r="C910" s="11"/>
      <c r="D910" s="11"/>
      <c r="E910" s="11"/>
      <c r="F910" s="11"/>
      <c r="G910" s="11"/>
      <c r="H910" s="11"/>
      <c r="I910" s="11"/>
      <c r="J910" s="11"/>
      <c r="K910" s="11"/>
      <c r="L910" s="15"/>
      <c r="M910" s="15"/>
      <c r="N910" s="15"/>
      <c r="O910" s="15"/>
      <c r="P910" s="15"/>
      <c r="Q910" s="11"/>
      <c r="R910" s="11"/>
      <c r="S910" s="11"/>
      <c r="T910" s="11"/>
      <c r="U910" s="15"/>
      <c r="V910" s="11"/>
      <c r="W910" s="11"/>
      <c r="X910" s="11"/>
      <c r="Y910" s="11"/>
      <c r="Z910" s="11"/>
    </row>
    <row r="911">
      <c r="A911" s="18"/>
      <c r="B911" s="11"/>
      <c r="C911" s="11"/>
      <c r="D911" s="11"/>
      <c r="E911" s="11"/>
      <c r="F911" s="11"/>
      <c r="G911" s="11"/>
      <c r="H911" s="11"/>
      <c r="I911" s="11"/>
      <c r="J911" s="11"/>
      <c r="K911" s="11"/>
      <c r="L911" s="15"/>
      <c r="M911" s="15"/>
      <c r="N911" s="15"/>
      <c r="O911" s="15"/>
      <c r="P911" s="15"/>
      <c r="Q911" s="11"/>
      <c r="R911" s="11"/>
      <c r="S911" s="11"/>
      <c r="T911" s="11"/>
      <c r="U911" s="15"/>
      <c r="V911" s="11"/>
      <c r="W911" s="11"/>
      <c r="X911" s="11"/>
      <c r="Y911" s="11"/>
      <c r="Z911" s="11"/>
    </row>
    <row r="912">
      <c r="A912" s="18"/>
      <c r="B912" s="11"/>
      <c r="C912" s="11"/>
      <c r="D912" s="11"/>
      <c r="E912" s="11"/>
      <c r="F912" s="11"/>
      <c r="G912" s="11"/>
      <c r="H912" s="11"/>
      <c r="I912" s="11"/>
      <c r="J912" s="11"/>
      <c r="K912" s="11"/>
      <c r="L912" s="15"/>
      <c r="M912" s="15"/>
      <c r="N912" s="15"/>
      <c r="O912" s="15"/>
      <c r="P912" s="15"/>
      <c r="Q912" s="11"/>
      <c r="R912" s="11"/>
      <c r="S912" s="11"/>
      <c r="T912" s="11"/>
      <c r="U912" s="15"/>
      <c r="V912" s="11"/>
      <c r="W912" s="11"/>
      <c r="X912" s="11"/>
      <c r="Y912" s="11"/>
      <c r="Z912" s="11"/>
    </row>
    <row r="913">
      <c r="A913" s="18"/>
      <c r="B913" s="11"/>
      <c r="C913" s="11"/>
      <c r="D913" s="11"/>
      <c r="E913" s="11"/>
      <c r="F913" s="11"/>
      <c r="G913" s="11"/>
      <c r="H913" s="11"/>
      <c r="I913" s="11"/>
      <c r="J913" s="11"/>
      <c r="K913" s="11"/>
      <c r="L913" s="15"/>
      <c r="M913" s="15"/>
      <c r="N913" s="15"/>
      <c r="O913" s="15"/>
      <c r="P913" s="15"/>
      <c r="Q913" s="11"/>
      <c r="R913" s="11"/>
      <c r="S913" s="11"/>
      <c r="T913" s="11"/>
      <c r="U913" s="15"/>
      <c r="V913" s="11"/>
      <c r="W913" s="11"/>
      <c r="X913" s="11"/>
      <c r="Y913" s="11"/>
      <c r="Z913" s="11"/>
    </row>
    <row r="914">
      <c r="A914" s="18"/>
      <c r="B914" s="11"/>
      <c r="C914" s="11"/>
      <c r="D914" s="11"/>
      <c r="E914" s="11"/>
      <c r="F914" s="11"/>
      <c r="G914" s="11"/>
      <c r="H914" s="11"/>
      <c r="I914" s="11"/>
      <c r="J914" s="11"/>
      <c r="K914" s="11"/>
      <c r="L914" s="15"/>
      <c r="M914" s="15"/>
      <c r="N914" s="15"/>
      <c r="O914" s="15"/>
      <c r="P914" s="15"/>
      <c r="Q914" s="11"/>
      <c r="R914" s="11"/>
      <c r="S914" s="11"/>
      <c r="T914" s="11"/>
      <c r="U914" s="15"/>
      <c r="V914" s="11"/>
      <c r="W914" s="11"/>
      <c r="X914" s="11"/>
      <c r="Y914" s="11"/>
      <c r="Z914" s="11"/>
    </row>
    <row r="915">
      <c r="A915" s="18"/>
      <c r="B915" s="11"/>
      <c r="C915" s="11"/>
      <c r="D915" s="11"/>
      <c r="E915" s="11"/>
      <c r="F915" s="11"/>
      <c r="G915" s="11"/>
      <c r="H915" s="11"/>
      <c r="I915" s="11"/>
      <c r="J915" s="11"/>
      <c r="K915" s="11"/>
      <c r="L915" s="15"/>
      <c r="M915" s="15"/>
      <c r="N915" s="15"/>
      <c r="O915" s="15"/>
      <c r="P915" s="15"/>
      <c r="Q915" s="11"/>
      <c r="R915" s="11"/>
      <c r="S915" s="11"/>
      <c r="T915" s="11"/>
      <c r="U915" s="15"/>
      <c r="V915" s="11"/>
      <c r="W915" s="11"/>
      <c r="X915" s="11"/>
      <c r="Y915" s="11"/>
      <c r="Z915" s="11"/>
    </row>
    <row r="916">
      <c r="A916" s="18"/>
      <c r="B916" s="11"/>
      <c r="C916" s="11"/>
      <c r="D916" s="11"/>
      <c r="E916" s="11"/>
      <c r="F916" s="11"/>
      <c r="G916" s="11"/>
      <c r="H916" s="11"/>
      <c r="I916" s="11"/>
      <c r="J916" s="11"/>
      <c r="K916" s="11"/>
      <c r="L916" s="15"/>
      <c r="M916" s="15"/>
      <c r="N916" s="15"/>
      <c r="O916" s="15"/>
      <c r="P916" s="15"/>
      <c r="Q916" s="11"/>
      <c r="R916" s="11"/>
      <c r="S916" s="11"/>
      <c r="T916" s="11"/>
      <c r="U916" s="15"/>
      <c r="V916" s="11"/>
      <c r="W916" s="11"/>
      <c r="X916" s="11"/>
      <c r="Y916" s="11"/>
      <c r="Z916" s="11"/>
    </row>
    <row r="917">
      <c r="A917" s="18"/>
      <c r="B917" s="11"/>
      <c r="C917" s="11"/>
      <c r="D917" s="11"/>
      <c r="E917" s="11"/>
      <c r="F917" s="11"/>
      <c r="G917" s="11"/>
      <c r="H917" s="11"/>
      <c r="I917" s="11"/>
      <c r="J917" s="11"/>
      <c r="K917" s="11"/>
      <c r="L917" s="15"/>
      <c r="M917" s="15"/>
      <c r="N917" s="15"/>
      <c r="O917" s="15"/>
      <c r="P917" s="15"/>
      <c r="Q917" s="11"/>
      <c r="R917" s="11"/>
      <c r="S917" s="11"/>
      <c r="T917" s="11"/>
      <c r="U917" s="15"/>
      <c r="V917" s="11"/>
      <c r="W917" s="11"/>
      <c r="X917" s="11"/>
      <c r="Y917" s="11"/>
      <c r="Z917" s="11"/>
    </row>
    <row r="918">
      <c r="A918" s="18"/>
      <c r="B918" s="11"/>
      <c r="C918" s="11"/>
      <c r="D918" s="11"/>
      <c r="E918" s="11"/>
      <c r="F918" s="11"/>
      <c r="G918" s="11"/>
      <c r="H918" s="11"/>
      <c r="I918" s="11"/>
      <c r="J918" s="11"/>
      <c r="K918" s="11"/>
      <c r="L918" s="15"/>
      <c r="M918" s="15"/>
      <c r="N918" s="15"/>
      <c r="O918" s="15"/>
      <c r="P918" s="15"/>
      <c r="Q918" s="11"/>
      <c r="R918" s="11"/>
      <c r="S918" s="11"/>
      <c r="T918" s="11"/>
      <c r="U918" s="15"/>
      <c r="V918" s="11"/>
      <c r="W918" s="11"/>
      <c r="X918" s="11"/>
      <c r="Y918" s="11"/>
      <c r="Z918" s="11"/>
    </row>
    <row r="919">
      <c r="A919" s="18"/>
      <c r="B919" s="11"/>
      <c r="C919" s="11"/>
      <c r="D919" s="11"/>
      <c r="E919" s="11"/>
      <c r="F919" s="11"/>
      <c r="G919" s="11"/>
      <c r="H919" s="11"/>
      <c r="I919" s="11"/>
      <c r="J919" s="11"/>
      <c r="K919" s="11"/>
      <c r="L919" s="15"/>
      <c r="M919" s="15"/>
      <c r="N919" s="15"/>
      <c r="O919" s="15"/>
      <c r="P919" s="15"/>
      <c r="Q919" s="11"/>
      <c r="R919" s="11"/>
      <c r="S919" s="11"/>
      <c r="T919" s="11"/>
      <c r="U919" s="15"/>
      <c r="V919" s="11"/>
      <c r="W919" s="11"/>
      <c r="X919" s="11"/>
      <c r="Y919" s="11"/>
      <c r="Z919" s="11"/>
    </row>
    <row r="920">
      <c r="A920" s="18"/>
      <c r="B920" s="11"/>
      <c r="C920" s="11"/>
      <c r="D920" s="11"/>
      <c r="E920" s="11"/>
      <c r="F920" s="11"/>
      <c r="G920" s="11"/>
      <c r="H920" s="11"/>
      <c r="I920" s="11"/>
      <c r="J920" s="11"/>
      <c r="K920" s="11"/>
      <c r="L920" s="15"/>
      <c r="M920" s="15"/>
      <c r="N920" s="15"/>
      <c r="O920" s="15"/>
      <c r="P920" s="15"/>
      <c r="Q920" s="11"/>
      <c r="R920" s="11"/>
      <c r="S920" s="11"/>
      <c r="T920" s="11"/>
      <c r="U920" s="15"/>
      <c r="V920" s="11"/>
      <c r="W920" s="11"/>
      <c r="X920" s="11"/>
      <c r="Y920" s="11"/>
      <c r="Z920" s="11"/>
    </row>
    <row r="921">
      <c r="A921" s="18"/>
      <c r="B921" s="11"/>
      <c r="C921" s="11"/>
      <c r="D921" s="11"/>
      <c r="E921" s="11"/>
      <c r="F921" s="11"/>
      <c r="G921" s="11"/>
      <c r="H921" s="11"/>
      <c r="I921" s="11"/>
      <c r="J921" s="11"/>
      <c r="K921" s="11"/>
      <c r="L921" s="15"/>
      <c r="M921" s="15"/>
      <c r="N921" s="15"/>
      <c r="O921" s="15"/>
      <c r="P921" s="15"/>
      <c r="Q921" s="11"/>
      <c r="R921" s="11"/>
      <c r="S921" s="11"/>
      <c r="T921" s="11"/>
      <c r="U921" s="15"/>
      <c r="V921" s="11"/>
      <c r="W921" s="11"/>
      <c r="X921" s="11"/>
      <c r="Y921" s="11"/>
      <c r="Z921" s="11"/>
    </row>
    <row r="922">
      <c r="A922" s="18"/>
      <c r="B922" s="11"/>
      <c r="C922" s="11"/>
      <c r="D922" s="11"/>
      <c r="E922" s="11"/>
      <c r="F922" s="11"/>
      <c r="G922" s="11"/>
      <c r="H922" s="11"/>
      <c r="I922" s="11"/>
      <c r="J922" s="11"/>
      <c r="K922" s="11"/>
      <c r="L922" s="15"/>
      <c r="M922" s="15"/>
      <c r="N922" s="15"/>
      <c r="O922" s="15"/>
      <c r="P922" s="15"/>
      <c r="Q922" s="11"/>
      <c r="R922" s="11"/>
      <c r="S922" s="11"/>
      <c r="T922" s="11"/>
      <c r="U922" s="15"/>
      <c r="V922" s="11"/>
      <c r="W922" s="11"/>
      <c r="X922" s="11"/>
      <c r="Y922" s="11"/>
      <c r="Z922" s="11"/>
    </row>
    <row r="923">
      <c r="A923" s="18"/>
      <c r="B923" s="11"/>
      <c r="C923" s="11"/>
      <c r="D923" s="11"/>
      <c r="E923" s="11"/>
      <c r="F923" s="11"/>
      <c r="G923" s="11"/>
      <c r="H923" s="11"/>
      <c r="I923" s="11"/>
      <c r="J923" s="11"/>
      <c r="K923" s="11"/>
      <c r="L923" s="15"/>
      <c r="M923" s="15"/>
      <c r="N923" s="15"/>
      <c r="O923" s="15"/>
      <c r="P923" s="15"/>
      <c r="Q923" s="11"/>
      <c r="R923" s="11"/>
      <c r="S923" s="11"/>
      <c r="T923" s="11"/>
      <c r="U923" s="15"/>
      <c r="V923" s="11"/>
      <c r="W923" s="11"/>
      <c r="X923" s="11"/>
      <c r="Y923" s="11"/>
      <c r="Z923" s="11"/>
    </row>
    <row r="924">
      <c r="A924" s="18"/>
      <c r="B924" s="11"/>
      <c r="C924" s="11"/>
      <c r="D924" s="11"/>
      <c r="E924" s="11"/>
      <c r="F924" s="11"/>
      <c r="G924" s="11"/>
      <c r="H924" s="11"/>
      <c r="I924" s="11"/>
      <c r="J924" s="11"/>
      <c r="K924" s="11"/>
      <c r="L924" s="15"/>
      <c r="M924" s="15"/>
      <c r="N924" s="15"/>
      <c r="O924" s="15"/>
      <c r="P924" s="15"/>
      <c r="Q924" s="11"/>
      <c r="R924" s="11"/>
      <c r="S924" s="11"/>
      <c r="T924" s="11"/>
      <c r="U924" s="15"/>
      <c r="V924" s="11"/>
      <c r="W924" s="11"/>
      <c r="X924" s="11"/>
      <c r="Y924" s="11"/>
      <c r="Z924" s="11"/>
    </row>
    <row r="925">
      <c r="A925" s="18"/>
      <c r="B925" s="11"/>
      <c r="C925" s="11"/>
      <c r="D925" s="11"/>
      <c r="E925" s="11"/>
      <c r="F925" s="11"/>
      <c r="G925" s="11"/>
      <c r="H925" s="11"/>
      <c r="I925" s="11"/>
      <c r="J925" s="11"/>
      <c r="K925" s="11"/>
      <c r="L925" s="15"/>
      <c r="M925" s="15"/>
      <c r="N925" s="15"/>
      <c r="O925" s="15"/>
      <c r="P925" s="15"/>
      <c r="Q925" s="11"/>
      <c r="R925" s="11"/>
      <c r="S925" s="11"/>
      <c r="T925" s="11"/>
      <c r="U925" s="15"/>
      <c r="V925" s="11"/>
      <c r="W925" s="11"/>
      <c r="X925" s="11"/>
      <c r="Y925" s="11"/>
      <c r="Z925" s="11"/>
    </row>
    <row r="926">
      <c r="A926" s="18"/>
      <c r="B926" s="11"/>
      <c r="C926" s="11"/>
      <c r="D926" s="11"/>
      <c r="E926" s="11"/>
      <c r="F926" s="11"/>
      <c r="G926" s="11"/>
      <c r="H926" s="11"/>
      <c r="I926" s="11"/>
      <c r="J926" s="11"/>
      <c r="K926" s="11"/>
      <c r="L926" s="15"/>
      <c r="M926" s="15"/>
      <c r="N926" s="15"/>
      <c r="O926" s="15"/>
      <c r="P926" s="15"/>
      <c r="Q926" s="11"/>
      <c r="R926" s="11"/>
      <c r="S926" s="11"/>
      <c r="T926" s="11"/>
      <c r="U926" s="15"/>
      <c r="V926" s="11"/>
      <c r="W926" s="11"/>
      <c r="X926" s="11"/>
      <c r="Y926" s="11"/>
      <c r="Z926" s="11"/>
    </row>
    <row r="927">
      <c r="A927" s="18"/>
      <c r="B927" s="11"/>
      <c r="C927" s="11"/>
      <c r="D927" s="11"/>
      <c r="E927" s="11"/>
      <c r="F927" s="11"/>
      <c r="G927" s="11"/>
      <c r="H927" s="11"/>
      <c r="I927" s="11"/>
      <c r="J927" s="11"/>
      <c r="K927" s="11"/>
      <c r="L927" s="15"/>
      <c r="M927" s="15"/>
      <c r="N927" s="15"/>
      <c r="O927" s="15"/>
      <c r="P927" s="15"/>
      <c r="Q927" s="11"/>
      <c r="R927" s="11"/>
      <c r="S927" s="11"/>
      <c r="T927" s="11"/>
      <c r="U927" s="15"/>
      <c r="V927" s="11"/>
      <c r="W927" s="11"/>
      <c r="X927" s="11"/>
      <c r="Y927" s="11"/>
      <c r="Z927" s="11"/>
    </row>
    <row r="928">
      <c r="A928" s="18"/>
      <c r="B928" s="11"/>
      <c r="C928" s="11"/>
      <c r="D928" s="11"/>
      <c r="E928" s="11"/>
      <c r="F928" s="11"/>
      <c r="G928" s="11"/>
      <c r="H928" s="11"/>
      <c r="I928" s="11"/>
      <c r="J928" s="11"/>
      <c r="K928" s="11"/>
      <c r="L928" s="15"/>
      <c r="M928" s="15"/>
      <c r="N928" s="15"/>
      <c r="O928" s="15"/>
      <c r="P928" s="15"/>
      <c r="Q928" s="11"/>
      <c r="R928" s="11"/>
      <c r="S928" s="11"/>
      <c r="T928" s="11"/>
      <c r="U928" s="15"/>
      <c r="V928" s="11"/>
      <c r="W928" s="11"/>
      <c r="X928" s="11"/>
      <c r="Y928" s="11"/>
      <c r="Z928" s="11"/>
    </row>
    <row r="929">
      <c r="A929" s="18"/>
      <c r="B929" s="11"/>
      <c r="C929" s="11"/>
      <c r="D929" s="11"/>
      <c r="E929" s="11"/>
      <c r="F929" s="11"/>
      <c r="G929" s="11"/>
      <c r="H929" s="11"/>
      <c r="I929" s="11"/>
      <c r="J929" s="11"/>
      <c r="K929" s="11"/>
      <c r="L929" s="15"/>
      <c r="M929" s="15"/>
      <c r="N929" s="15"/>
      <c r="O929" s="15"/>
      <c r="P929" s="15"/>
      <c r="Q929" s="11"/>
      <c r="R929" s="11"/>
      <c r="S929" s="11"/>
      <c r="T929" s="11"/>
      <c r="U929" s="15"/>
      <c r="V929" s="11"/>
      <c r="W929" s="11"/>
      <c r="X929" s="11"/>
      <c r="Y929" s="11"/>
      <c r="Z929" s="11"/>
    </row>
    <row r="930">
      <c r="A930" s="18"/>
      <c r="B930" s="11"/>
      <c r="C930" s="11"/>
      <c r="D930" s="11"/>
      <c r="E930" s="11"/>
      <c r="F930" s="11"/>
      <c r="G930" s="11"/>
      <c r="H930" s="11"/>
      <c r="I930" s="11"/>
      <c r="J930" s="11"/>
      <c r="K930" s="11"/>
      <c r="L930" s="15"/>
      <c r="M930" s="15"/>
      <c r="N930" s="15"/>
      <c r="O930" s="15"/>
      <c r="P930" s="15"/>
      <c r="Q930" s="11"/>
      <c r="R930" s="11"/>
      <c r="S930" s="11"/>
      <c r="T930" s="11"/>
      <c r="U930" s="15"/>
      <c r="V930" s="11"/>
      <c r="W930" s="11"/>
      <c r="X930" s="11"/>
      <c r="Y930" s="11"/>
      <c r="Z930" s="11"/>
    </row>
    <row r="931">
      <c r="A931" s="18"/>
      <c r="B931" s="11"/>
      <c r="C931" s="11"/>
      <c r="D931" s="11"/>
      <c r="E931" s="11"/>
      <c r="F931" s="11"/>
      <c r="G931" s="11"/>
      <c r="H931" s="11"/>
      <c r="I931" s="11"/>
      <c r="J931" s="11"/>
      <c r="K931" s="11"/>
      <c r="L931" s="15"/>
      <c r="M931" s="15"/>
      <c r="N931" s="15"/>
      <c r="O931" s="15"/>
      <c r="P931" s="15"/>
      <c r="Q931" s="11"/>
      <c r="R931" s="11"/>
      <c r="S931" s="11"/>
      <c r="T931" s="11"/>
      <c r="U931" s="15"/>
      <c r="V931" s="11"/>
      <c r="W931" s="11"/>
      <c r="X931" s="11"/>
      <c r="Y931" s="11"/>
      <c r="Z931" s="11"/>
    </row>
    <row r="932">
      <c r="A932" s="18"/>
      <c r="B932" s="11"/>
      <c r="C932" s="11"/>
      <c r="D932" s="11"/>
      <c r="E932" s="11"/>
      <c r="F932" s="11"/>
      <c r="G932" s="11"/>
      <c r="H932" s="11"/>
      <c r="I932" s="11"/>
      <c r="J932" s="11"/>
      <c r="K932" s="11"/>
      <c r="L932" s="15"/>
      <c r="M932" s="15"/>
      <c r="N932" s="15"/>
      <c r="O932" s="15"/>
      <c r="P932" s="15"/>
      <c r="Q932" s="11"/>
      <c r="R932" s="11"/>
      <c r="S932" s="11"/>
      <c r="T932" s="11"/>
      <c r="U932" s="15"/>
      <c r="V932" s="11"/>
      <c r="W932" s="11"/>
      <c r="X932" s="11"/>
      <c r="Y932" s="11"/>
      <c r="Z932" s="11"/>
    </row>
    <row r="933">
      <c r="A933" s="18"/>
      <c r="B933" s="11"/>
      <c r="C933" s="11"/>
      <c r="D933" s="11"/>
      <c r="E933" s="11"/>
      <c r="F933" s="11"/>
      <c r="G933" s="11"/>
      <c r="H933" s="11"/>
      <c r="I933" s="11"/>
      <c r="J933" s="11"/>
      <c r="K933" s="11"/>
      <c r="L933" s="15"/>
      <c r="M933" s="15"/>
      <c r="N933" s="15"/>
      <c r="O933" s="15"/>
      <c r="P933" s="15"/>
      <c r="Q933" s="11"/>
      <c r="R933" s="11"/>
      <c r="S933" s="11"/>
      <c r="T933" s="11"/>
      <c r="U933" s="15"/>
      <c r="V933" s="11"/>
      <c r="W933" s="11"/>
      <c r="X933" s="11"/>
      <c r="Y933" s="11"/>
      <c r="Z933" s="11"/>
    </row>
    <row r="934">
      <c r="A934" s="18"/>
      <c r="B934" s="11"/>
      <c r="C934" s="11"/>
      <c r="D934" s="11"/>
      <c r="E934" s="11"/>
      <c r="F934" s="11"/>
      <c r="G934" s="11"/>
      <c r="H934" s="11"/>
      <c r="I934" s="11"/>
      <c r="J934" s="11"/>
      <c r="K934" s="11"/>
      <c r="L934" s="15"/>
      <c r="M934" s="15"/>
      <c r="N934" s="15"/>
      <c r="O934" s="15"/>
      <c r="P934" s="15"/>
      <c r="Q934" s="11"/>
      <c r="R934" s="11"/>
      <c r="S934" s="11"/>
      <c r="T934" s="11"/>
      <c r="U934" s="15"/>
      <c r="V934" s="11"/>
      <c r="W934" s="11"/>
      <c r="X934" s="11"/>
      <c r="Y934" s="11"/>
      <c r="Z934" s="11"/>
    </row>
    <row r="935">
      <c r="A935" s="18"/>
      <c r="B935" s="11"/>
      <c r="C935" s="11"/>
      <c r="D935" s="11"/>
      <c r="E935" s="11"/>
      <c r="F935" s="11"/>
      <c r="G935" s="11"/>
      <c r="H935" s="11"/>
      <c r="I935" s="11"/>
      <c r="J935" s="11"/>
      <c r="K935" s="11"/>
      <c r="L935" s="15"/>
      <c r="M935" s="15"/>
      <c r="N935" s="15"/>
      <c r="O935" s="15"/>
      <c r="P935" s="15"/>
      <c r="Q935" s="11"/>
      <c r="R935" s="11"/>
      <c r="S935" s="11"/>
      <c r="T935" s="11"/>
      <c r="U935" s="15"/>
      <c r="V935" s="11"/>
      <c r="W935" s="11"/>
      <c r="X935" s="11"/>
      <c r="Y935" s="11"/>
      <c r="Z935" s="11"/>
    </row>
    <row r="936">
      <c r="A936" s="18"/>
      <c r="B936" s="11"/>
      <c r="C936" s="11"/>
      <c r="D936" s="11"/>
      <c r="E936" s="11"/>
      <c r="F936" s="11"/>
      <c r="G936" s="11"/>
      <c r="H936" s="11"/>
      <c r="I936" s="11"/>
      <c r="J936" s="11"/>
      <c r="K936" s="11"/>
      <c r="L936" s="15"/>
      <c r="M936" s="15"/>
      <c r="N936" s="15"/>
      <c r="O936" s="15"/>
      <c r="P936" s="15"/>
      <c r="Q936" s="11"/>
      <c r="R936" s="11"/>
      <c r="S936" s="11"/>
      <c r="T936" s="11"/>
      <c r="U936" s="15"/>
      <c r="V936" s="11"/>
      <c r="W936" s="11"/>
      <c r="X936" s="11"/>
      <c r="Y936" s="11"/>
      <c r="Z936" s="11"/>
    </row>
    <row r="937">
      <c r="A937" s="18"/>
      <c r="B937" s="11"/>
      <c r="C937" s="11"/>
      <c r="D937" s="11"/>
      <c r="E937" s="11"/>
      <c r="F937" s="11"/>
      <c r="G937" s="11"/>
      <c r="H937" s="11"/>
      <c r="I937" s="11"/>
      <c r="J937" s="11"/>
      <c r="K937" s="11"/>
      <c r="L937" s="15"/>
      <c r="M937" s="15"/>
      <c r="N937" s="15"/>
      <c r="O937" s="15"/>
      <c r="P937" s="15"/>
      <c r="Q937" s="11"/>
      <c r="R937" s="11"/>
      <c r="S937" s="11"/>
      <c r="T937" s="11"/>
      <c r="U937" s="15"/>
      <c r="V937" s="11"/>
      <c r="W937" s="11"/>
      <c r="X937" s="11"/>
      <c r="Y937" s="11"/>
      <c r="Z937" s="11"/>
    </row>
    <row r="938">
      <c r="A938" s="18"/>
      <c r="B938" s="11"/>
      <c r="C938" s="11"/>
      <c r="D938" s="11"/>
      <c r="E938" s="11"/>
      <c r="F938" s="11"/>
      <c r="G938" s="11"/>
      <c r="H938" s="11"/>
      <c r="I938" s="11"/>
      <c r="J938" s="11"/>
      <c r="K938" s="11"/>
      <c r="L938" s="15"/>
      <c r="M938" s="15"/>
      <c r="N938" s="15"/>
      <c r="O938" s="15"/>
      <c r="P938" s="15"/>
      <c r="Q938" s="11"/>
      <c r="R938" s="11"/>
      <c r="S938" s="11"/>
      <c r="T938" s="11"/>
      <c r="U938" s="15"/>
      <c r="V938" s="11"/>
      <c r="W938" s="11"/>
      <c r="X938" s="11"/>
      <c r="Y938" s="11"/>
      <c r="Z938" s="11"/>
    </row>
    <row r="939">
      <c r="A939" s="18"/>
      <c r="B939" s="11"/>
      <c r="C939" s="11"/>
      <c r="D939" s="11"/>
      <c r="E939" s="11"/>
      <c r="F939" s="11"/>
      <c r="G939" s="11"/>
      <c r="H939" s="11"/>
      <c r="I939" s="11"/>
      <c r="J939" s="11"/>
      <c r="K939" s="11"/>
      <c r="L939" s="15"/>
      <c r="M939" s="15"/>
      <c r="N939" s="15"/>
      <c r="O939" s="15"/>
      <c r="P939" s="15"/>
      <c r="Q939" s="11"/>
      <c r="R939" s="11"/>
      <c r="S939" s="11"/>
      <c r="T939" s="11"/>
      <c r="U939" s="15"/>
      <c r="V939" s="11"/>
      <c r="W939" s="11"/>
      <c r="X939" s="11"/>
      <c r="Y939" s="11"/>
      <c r="Z939" s="11"/>
    </row>
    <row r="940">
      <c r="A940" s="18"/>
      <c r="B940" s="11"/>
      <c r="C940" s="11"/>
      <c r="D940" s="11"/>
      <c r="E940" s="11"/>
      <c r="F940" s="11"/>
      <c r="G940" s="11"/>
      <c r="H940" s="11"/>
      <c r="I940" s="11"/>
      <c r="J940" s="11"/>
      <c r="K940" s="11"/>
      <c r="L940" s="15"/>
      <c r="M940" s="15"/>
      <c r="N940" s="15"/>
      <c r="O940" s="15"/>
      <c r="P940" s="15"/>
      <c r="Q940" s="11"/>
      <c r="R940" s="11"/>
      <c r="S940" s="11"/>
      <c r="T940" s="11"/>
      <c r="U940" s="15"/>
      <c r="V940" s="11"/>
      <c r="W940" s="11"/>
      <c r="X940" s="11"/>
      <c r="Y940" s="11"/>
      <c r="Z940" s="11"/>
    </row>
    <row r="941">
      <c r="A941" s="18"/>
      <c r="B941" s="11"/>
      <c r="C941" s="11"/>
      <c r="D941" s="11"/>
      <c r="E941" s="11"/>
      <c r="F941" s="11"/>
      <c r="G941" s="11"/>
      <c r="H941" s="11"/>
      <c r="I941" s="11"/>
      <c r="J941" s="11"/>
      <c r="K941" s="11"/>
      <c r="L941" s="15"/>
      <c r="M941" s="15"/>
      <c r="N941" s="15"/>
      <c r="O941" s="15"/>
      <c r="P941" s="15"/>
      <c r="Q941" s="11"/>
      <c r="R941" s="11"/>
      <c r="S941" s="11"/>
      <c r="T941" s="11"/>
      <c r="U941" s="15"/>
      <c r="V941" s="11"/>
      <c r="W941" s="11"/>
      <c r="X941" s="11"/>
      <c r="Y941" s="11"/>
      <c r="Z941" s="11"/>
    </row>
    <row r="942">
      <c r="A942" s="18"/>
      <c r="B942" s="11"/>
      <c r="C942" s="11"/>
      <c r="D942" s="11"/>
      <c r="E942" s="11"/>
      <c r="F942" s="11"/>
      <c r="G942" s="11"/>
      <c r="H942" s="11"/>
      <c r="I942" s="11"/>
      <c r="J942" s="11"/>
      <c r="K942" s="11"/>
      <c r="L942" s="15"/>
      <c r="M942" s="15"/>
      <c r="N942" s="15"/>
      <c r="O942" s="15"/>
      <c r="P942" s="15"/>
      <c r="Q942" s="11"/>
      <c r="R942" s="11"/>
      <c r="S942" s="11"/>
      <c r="T942" s="11"/>
      <c r="U942" s="15"/>
      <c r="V942" s="11"/>
      <c r="W942" s="11"/>
      <c r="X942" s="11"/>
      <c r="Y942" s="11"/>
      <c r="Z942" s="11"/>
    </row>
    <row r="943">
      <c r="A943" s="18"/>
      <c r="B943" s="11"/>
      <c r="C943" s="11"/>
      <c r="D943" s="11"/>
      <c r="E943" s="11"/>
      <c r="F943" s="11"/>
      <c r="G943" s="11"/>
      <c r="H943" s="11"/>
      <c r="I943" s="11"/>
      <c r="J943" s="11"/>
      <c r="K943" s="11"/>
      <c r="L943" s="15"/>
      <c r="M943" s="15"/>
      <c r="N943" s="15"/>
      <c r="O943" s="15"/>
      <c r="P943" s="15"/>
      <c r="Q943" s="11"/>
      <c r="R943" s="11"/>
      <c r="S943" s="11"/>
      <c r="T943" s="11"/>
      <c r="U943" s="15"/>
      <c r="V943" s="11"/>
      <c r="W943" s="11"/>
      <c r="X943" s="11"/>
      <c r="Y943" s="11"/>
      <c r="Z943" s="11"/>
    </row>
    <row r="944">
      <c r="A944" s="18"/>
      <c r="B944" s="11"/>
      <c r="C944" s="11"/>
      <c r="D944" s="11"/>
      <c r="E944" s="11"/>
      <c r="F944" s="11"/>
      <c r="G944" s="11"/>
      <c r="H944" s="11"/>
      <c r="I944" s="11"/>
      <c r="J944" s="11"/>
      <c r="K944" s="11"/>
      <c r="L944" s="15"/>
      <c r="M944" s="15"/>
      <c r="N944" s="15"/>
      <c r="O944" s="15"/>
      <c r="P944" s="15"/>
      <c r="Q944" s="11"/>
      <c r="R944" s="11"/>
      <c r="S944" s="11"/>
      <c r="T944" s="11"/>
      <c r="U944" s="15"/>
      <c r="V944" s="11"/>
      <c r="W944" s="11"/>
      <c r="X944" s="11"/>
      <c r="Y944" s="11"/>
      <c r="Z944" s="11"/>
    </row>
    <row r="945">
      <c r="A945" s="18"/>
      <c r="B945" s="11"/>
      <c r="C945" s="11"/>
      <c r="D945" s="11"/>
      <c r="E945" s="11"/>
      <c r="F945" s="11"/>
      <c r="G945" s="11"/>
      <c r="H945" s="11"/>
      <c r="I945" s="11"/>
      <c r="J945" s="11"/>
      <c r="K945" s="11"/>
      <c r="L945" s="15"/>
      <c r="M945" s="15"/>
      <c r="N945" s="15"/>
      <c r="O945" s="15"/>
      <c r="P945" s="15"/>
      <c r="Q945" s="11"/>
      <c r="R945" s="11"/>
      <c r="S945" s="11"/>
      <c r="T945" s="11"/>
      <c r="U945" s="15"/>
      <c r="V945" s="11"/>
      <c r="W945" s="11"/>
      <c r="X945" s="11"/>
      <c r="Y945" s="11"/>
      <c r="Z945" s="11"/>
    </row>
    <row r="946">
      <c r="A946" s="18"/>
      <c r="B946" s="11"/>
      <c r="C946" s="11"/>
      <c r="D946" s="11"/>
      <c r="E946" s="11"/>
      <c r="F946" s="11"/>
      <c r="G946" s="11"/>
      <c r="H946" s="11"/>
      <c r="I946" s="11"/>
      <c r="J946" s="11"/>
      <c r="K946" s="11"/>
      <c r="L946" s="15"/>
      <c r="M946" s="15"/>
      <c r="N946" s="15"/>
      <c r="O946" s="15"/>
      <c r="P946" s="15"/>
      <c r="Q946" s="11"/>
      <c r="R946" s="11"/>
      <c r="S946" s="11"/>
      <c r="T946" s="11"/>
      <c r="U946" s="15"/>
      <c r="V946" s="11"/>
      <c r="W946" s="11"/>
      <c r="X946" s="11"/>
      <c r="Y946" s="11"/>
      <c r="Z946" s="11"/>
    </row>
    <row r="947">
      <c r="A947" s="18"/>
      <c r="B947" s="11"/>
      <c r="C947" s="11"/>
      <c r="D947" s="11"/>
      <c r="E947" s="11"/>
      <c r="F947" s="11"/>
      <c r="G947" s="11"/>
      <c r="H947" s="11"/>
      <c r="I947" s="11"/>
      <c r="J947" s="11"/>
      <c r="K947" s="11"/>
      <c r="L947" s="15"/>
      <c r="M947" s="15"/>
      <c r="N947" s="15"/>
      <c r="O947" s="15"/>
      <c r="P947" s="15"/>
      <c r="Q947" s="11"/>
      <c r="R947" s="11"/>
      <c r="S947" s="11"/>
      <c r="T947" s="11"/>
      <c r="U947" s="15"/>
      <c r="V947" s="11"/>
      <c r="W947" s="11"/>
      <c r="X947" s="11"/>
      <c r="Y947" s="11"/>
      <c r="Z947" s="11"/>
    </row>
    <row r="948">
      <c r="A948" s="18"/>
      <c r="B948" s="11"/>
      <c r="C948" s="11"/>
      <c r="D948" s="11"/>
      <c r="E948" s="11"/>
      <c r="F948" s="11"/>
      <c r="G948" s="11"/>
      <c r="H948" s="11"/>
      <c r="I948" s="11"/>
      <c r="J948" s="11"/>
      <c r="K948" s="11"/>
      <c r="L948" s="15"/>
      <c r="M948" s="15"/>
      <c r="N948" s="15"/>
      <c r="O948" s="15"/>
      <c r="P948" s="15"/>
      <c r="Q948" s="11"/>
      <c r="R948" s="11"/>
      <c r="S948" s="11"/>
      <c r="T948" s="11"/>
      <c r="U948" s="15"/>
      <c r="V948" s="11"/>
      <c r="W948" s="11"/>
      <c r="X948" s="11"/>
      <c r="Y948" s="11"/>
      <c r="Z948" s="11"/>
    </row>
    <row r="949">
      <c r="A949" s="18"/>
      <c r="B949" s="11"/>
      <c r="C949" s="11"/>
      <c r="D949" s="11"/>
      <c r="E949" s="11"/>
      <c r="F949" s="11"/>
      <c r="G949" s="11"/>
      <c r="H949" s="11"/>
      <c r="I949" s="11"/>
      <c r="J949" s="11"/>
      <c r="K949" s="11"/>
      <c r="L949" s="15"/>
      <c r="M949" s="15"/>
      <c r="N949" s="15"/>
      <c r="O949" s="15"/>
      <c r="P949" s="15"/>
      <c r="Q949" s="11"/>
      <c r="R949" s="11"/>
      <c r="S949" s="11"/>
      <c r="T949" s="11"/>
      <c r="U949" s="15"/>
      <c r="V949" s="11"/>
      <c r="W949" s="11"/>
      <c r="X949" s="11"/>
      <c r="Y949" s="11"/>
      <c r="Z949" s="11"/>
    </row>
    <row r="950">
      <c r="A950" s="18"/>
      <c r="B950" s="11"/>
      <c r="C950" s="11"/>
      <c r="D950" s="11"/>
      <c r="E950" s="11"/>
      <c r="F950" s="11"/>
      <c r="G950" s="11"/>
      <c r="H950" s="11"/>
      <c r="I950" s="11"/>
      <c r="J950" s="11"/>
      <c r="K950" s="11"/>
      <c r="L950" s="15"/>
      <c r="M950" s="15"/>
      <c r="N950" s="15"/>
      <c r="O950" s="15"/>
      <c r="P950" s="15"/>
      <c r="Q950" s="11"/>
      <c r="R950" s="11"/>
      <c r="S950" s="11"/>
      <c r="T950" s="11"/>
      <c r="U950" s="15"/>
      <c r="V950" s="11"/>
      <c r="W950" s="11"/>
      <c r="X950" s="11"/>
      <c r="Y950" s="11"/>
      <c r="Z950" s="11"/>
    </row>
    <row r="951">
      <c r="A951" s="18"/>
      <c r="B951" s="11"/>
      <c r="C951" s="11"/>
      <c r="D951" s="11"/>
      <c r="E951" s="11"/>
      <c r="F951" s="11"/>
      <c r="G951" s="11"/>
      <c r="H951" s="11"/>
      <c r="I951" s="11"/>
      <c r="J951" s="11"/>
      <c r="K951" s="11"/>
      <c r="L951" s="15"/>
      <c r="M951" s="15"/>
      <c r="N951" s="15"/>
      <c r="O951" s="15"/>
      <c r="P951" s="15"/>
      <c r="Q951" s="11"/>
      <c r="R951" s="11"/>
      <c r="S951" s="11"/>
      <c r="T951" s="11"/>
      <c r="U951" s="15"/>
      <c r="V951" s="11"/>
      <c r="W951" s="11"/>
      <c r="X951" s="11"/>
      <c r="Y951" s="11"/>
      <c r="Z951" s="11"/>
    </row>
    <row r="952">
      <c r="A952" s="18"/>
      <c r="B952" s="11"/>
      <c r="C952" s="11"/>
      <c r="D952" s="11"/>
      <c r="E952" s="11"/>
      <c r="F952" s="11"/>
      <c r="G952" s="11"/>
      <c r="H952" s="11"/>
      <c r="I952" s="11"/>
      <c r="J952" s="11"/>
      <c r="K952" s="11"/>
      <c r="L952" s="15"/>
      <c r="M952" s="15"/>
      <c r="N952" s="15"/>
      <c r="O952" s="15"/>
      <c r="P952" s="15"/>
      <c r="Q952" s="11"/>
      <c r="R952" s="11"/>
      <c r="S952" s="11"/>
      <c r="T952" s="11"/>
      <c r="U952" s="15"/>
      <c r="V952" s="11"/>
      <c r="W952" s="11"/>
      <c r="X952" s="11"/>
      <c r="Y952" s="11"/>
      <c r="Z952" s="11"/>
    </row>
    <row r="953">
      <c r="A953" s="18"/>
      <c r="B953" s="11"/>
      <c r="C953" s="11"/>
      <c r="D953" s="11"/>
      <c r="E953" s="11"/>
      <c r="F953" s="11"/>
      <c r="G953" s="11"/>
      <c r="H953" s="11"/>
      <c r="I953" s="11"/>
      <c r="J953" s="11"/>
      <c r="K953" s="11"/>
      <c r="L953" s="15"/>
      <c r="M953" s="15"/>
      <c r="N953" s="15"/>
      <c r="O953" s="15"/>
      <c r="P953" s="15"/>
      <c r="Q953" s="11"/>
      <c r="R953" s="11"/>
      <c r="S953" s="11"/>
      <c r="T953" s="11"/>
      <c r="U953" s="15"/>
      <c r="V953" s="11"/>
      <c r="W953" s="11"/>
      <c r="X953" s="11"/>
      <c r="Y953" s="11"/>
      <c r="Z953" s="11"/>
    </row>
    <row r="954">
      <c r="A954" s="18"/>
      <c r="B954" s="11"/>
      <c r="C954" s="11"/>
      <c r="D954" s="11"/>
      <c r="E954" s="11"/>
      <c r="F954" s="11"/>
      <c r="G954" s="11"/>
      <c r="H954" s="11"/>
      <c r="I954" s="11"/>
      <c r="J954" s="11"/>
      <c r="K954" s="11"/>
      <c r="L954" s="15"/>
      <c r="M954" s="15"/>
      <c r="N954" s="15"/>
      <c r="O954" s="15"/>
      <c r="P954" s="15"/>
      <c r="Q954" s="11"/>
      <c r="R954" s="11"/>
      <c r="S954" s="11"/>
      <c r="T954" s="11"/>
      <c r="U954" s="15"/>
      <c r="V954" s="11"/>
      <c r="W954" s="11"/>
      <c r="X954" s="11"/>
      <c r="Y954" s="11"/>
      <c r="Z954" s="11"/>
    </row>
    <row r="955">
      <c r="A955" s="18"/>
      <c r="B955" s="11"/>
      <c r="C955" s="11"/>
      <c r="D955" s="11"/>
      <c r="E955" s="11"/>
      <c r="F955" s="11"/>
      <c r="G955" s="11"/>
      <c r="H955" s="11"/>
      <c r="I955" s="11"/>
      <c r="J955" s="11"/>
      <c r="K955" s="11"/>
      <c r="L955" s="15"/>
      <c r="M955" s="15"/>
      <c r="N955" s="15"/>
      <c r="O955" s="15"/>
      <c r="P955" s="15"/>
      <c r="Q955" s="11"/>
      <c r="R955" s="11"/>
      <c r="S955" s="11"/>
      <c r="T955" s="11"/>
      <c r="U955" s="15"/>
      <c r="V955" s="11"/>
      <c r="W955" s="11"/>
      <c r="X955" s="11"/>
      <c r="Y955" s="11"/>
      <c r="Z955" s="11"/>
    </row>
    <row r="956">
      <c r="A956" s="18"/>
      <c r="B956" s="11"/>
      <c r="C956" s="11"/>
      <c r="D956" s="11"/>
      <c r="E956" s="11"/>
      <c r="F956" s="11"/>
      <c r="G956" s="11"/>
      <c r="H956" s="11"/>
      <c r="I956" s="11"/>
      <c r="J956" s="11"/>
      <c r="K956" s="11"/>
      <c r="L956" s="15"/>
      <c r="M956" s="15"/>
      <c r="N956" s="15"/>
      <c r="O956" s="15"/>
      <c r="P956" s="15"/>
      <c r="Q956" s="11"/>
      <c r="R956" s="11"/>
      <c r="S956" s="11"/>
      <c r="T956" s="11"/>
      <c r="U956" s="15"/>
      <c r="V956" s="11"/>
      <c r="W956" s="11"/>
      <c r="X956" s="11"/>
      <c r="Y956" s="11"/>
      <c r="Z956" s="11"/>
    </row>
    <row r="957">
      <c r="A957" s="18"/>
      <c r="B957" s="11"/>
      <c r="C957" s="11"/>
      <c r="D957" s="11"/>
      <c r="E957" s="11"/>
      <c r="F957" s="11"/>
      <c r="G957" s="11"/>
      <c r="H957" s="11"/>
      <c r="I957" s="11"/>
      <c r="J957" s="11"/>
      <c r="K957" s="11"/>
      <c r="L957" s="15"/>
      <c r="M957" s="15"/>
      <c r="N957" s="15"/>
      <c r="O957" s="15"/>
      <c r="P957" s="15"/>
      <c r="Q957" s="11"/>
      <c r="R957" s="11"/>
      <c r="S957" s="11"/>
      <c r="T957" s="11"/>
      <c r="U957" s="15"/>
      <c r="V957" s="11"/>
      <c r="W957" s="11"/>
      <c r="X957" s="11"/>
      <c r="Y957" s="11"/>
      <c r="Z957" s="11"/>
    </row>
    <row r="958">
      <c r="A958" s="18"/>
      <c r="B958" s="11"/>
      <c r="C958" s="11"/>
      <c r="D958" s="11"/>
      <c r="E958" s="11"/>
      <c r="F958" s="11"/>
      <c r="G958" s="11"/>
      <c r="H958" s="11"/>
      <c r="I958" s="11"/>
      <c r="J958" s="11"/>
      <c r="K958" s="11"/>
      <c r="L958" s="15"/>
      <c r="M958" s="15"/>
      <c r="N958" s="15"/>
      <c r="O958" s="15"/>
      <c r="P958" s="15"/>
      <c r="Q958" s="11"/>
      <c r="R958" s="11"/>
      <c r="S958" s="11"/>
      <c r="T958" s="11"/>
      <c r="U958" s="15"/>
      <c r="V958" s="11"/>
      <c r="W958" s="11"/>
      <c r="X958" s="11"/>
      <c r="Y958" s="11"/>
      <c r="Z958" s="11"/>
    </row>
    <row r="959">
      <c r="A959" s="18"/>
      <c r="B959" s="11"/>
      <c r="C959" s="11"/>
      <c r="D959" s="11"/>
      <c r="E959" s="11"/>
      <c r="F959" s="11"/>
      <c r="G959" s="11"/>
      <c r="H959" s="11"/>
      <c r="I959" s="11"/>
      <c r="J959" s="11"/>
      <c r="K959" s="11"/>
      <c r="L959" s="15"/>
      <c r="M959" s="15"/>
      <c r="N959" s="15"/>
      <c r="O959" s="15"/>
      <c r="P959" s="15"/>
      <c r="Q959" s="11"/>
      <c r="R959" s="11"/>
      <c r="S959" s="11"/>
      <c r="T959" s="11"/>
      <c r="U959" s="15"/>
      <c r="V959" s="11"/>
      <c r="W959" s="11"/>
      <c r="X959" s="11"/>
      <c r="Y959" s="11"/>
      <c r="Z959" s="11"/>
    </row>
    <row r="960">
      <c r="A960" s="18"/>
      <c r="B960" s="11"/>
      <c r="C960" s="11"/>
      <c r="D960" s="11"/>
      <c r="E960" s="11"/>
      <c r="F960" s="11"/>
      <c r="G960" s="11"/>
      <c r="H960" s="11"/>
      <c r="I960" s="11"/>
      <c r="J960" s="11"/>
      <c r="K960" s="11"/>
      <c r="L960" s="15"/>
      <c r="M960" s="15"/>
      <c r="N960" s="15"/>
      <c r="O960" s="15"/>
      <c r="P960" s="15"/>
      <c r="Q960" s="11"/>
      <c r="R960" s="11"/>
      <c r="S960" s="11"/>
      <c r="T960" s="11"/>
      <c r="U960" s="15"/>
      <c r="V960" s="11"/>
      <c r="W960" s="11"/>
      <c r="X960" s="11"/>
      <c r="Y960" s="11"/>
      <c r="Z960" s="11"/>
    </row>
    <row r="961">
      <c r="A961" s="18"/>
      <c r="B961" s="11"/>
      <c r="C961" s="11"/>
      <c r="D961" s="11"/>
      <c r="E961" s="11"/>
      <c r="F961" s="11"/>
      <c r="G961" s="11"/>
      <c r="H961" s="11"/>
      <c r="I961" s="11"/>
      <c r="J961" s="11"/>
      <c r="K961" s="11"/>
      <c r="L961" s="15"/>
      <c r="M961" s="15"/>
      <c r="N961" s="15"/>
      <c r="O961" s="15"/>
      <c r="P961" s="15"/>
      <c r="Q961" s="11"/>
      <c r="R961" s="11"/>
      <c r="S961" s="11"/>
      <c r="T961" s="11"/>
      <c r="U961" s="15"/>
      <c r="V961" s="11"/>
      <c r="W961" s="11"/>
      <c r="X961" s="11"/>
      <c r="Y961" s="11"/>
      <c r="Z961" s="11"/>
    </row>
    <row r="962">
      <c r="A962" s="18"/>
      <c r="B962" s="11"/>
      <c r="C962" s="11"/>
      <c r="D962" s="11"/>
      <c r="E962" s="11"/>
      <c r="F962" s="11"/>
      <c r="G962" s="11"/>
      <c r="H962" s="11"/>
      <c r="I962" s="11"/>
      <c r="J962" s="11"/>
      <c r="K962" s="11"/>
      <c r="L962" s="15"/>
      <c r="M962" s="15"/>
      <c r="N962" s="15"/>
      <c r="O962" s="15"/>
      <c r="P962" s="15"/>
      <c r="Q962" s="11"/>
      <c r="R962" s="11"/>
      <c r="S962" s="11"/>
      <c r="T962" s="11"/>
      <c r="U962" s="15"/>
      <c r="V962" s="11"/>
      <c r="W962" s="11"/>
      <c r="X962" s="11"/>
      <c r="Y962" s="11"/>
      <c r="Z962" s="11"/>
    </row>
    <row r="963">
      <c r="A963" s="18"/>
      <c r="B963" s="11"/>
      <c r="C963" s="11"/>
      <c r="D963" s="11"/>
      <c r="E963" s="11"/>
      <c r="F963" s="11"/>
      <c r="G963" s="11"/>
      <c r="H963" s="11"/>
      <c r="I963" s="11"/>
      <c r="J963" s="11"/>
      <c r="K963" s="11"/>
      <c r="L963" s="15"/>
      <c r="M963" s="15"/>
      <c r="N963" s="15"/>
      <c r="O963" s="15"/>
      <c r="P963" s="15"/>
      <c r="Q963" s="11"/>
      <c r="R963" s="11"/>
      <c r="S963" s="11"/>
      <c r="T963" s="11"/>
      <c r="U963" s="15"/>
      <c r="V963" s="11"/>
      <c r="W963" s="11"/>
      <c r="X963" s="11"/>
      <c r="Y963" s="11"/>
      <c r="Z963" s="11"/>
    </row>
    <row r="964">
      <c r="A964" s="18"/>
      <c r="B964" s="11"/>
      <c r="C964" s="11"/>
      <c r="D964" s="11"/>
      <c r="E964" s="11"/>
      <c r="F964" s="11"/>
      <c r="G964" s="11"/>
      <c r="H964" s="11"/>
      <c r="I964" s="11"/>
      <c r="J964" s="11"/>
      <c r="K964" s="11"/>
      <c r="L964" s="15"/>
      <c r="M964" s="15"/>
      <c r="N964" s="15"/>
      <c r="O964" s="15"/>
      <c r="P964" s="15"/>
      <c r="Q964" s="11"/>
      <c r="R964" s="11"/>
      <c r="S964" s="11"/>
      <c r="T964" s="11"/>
      <c r="U964" s="15"/>
      <c r="V964" s="11"/>
      <c r="W964" s="11"/>
      <c r="X964" s="11"/>
      <c r="Y964" s="11"/>
      <c r="Z964" s="11"/>
    </row>
    <row r="965">
      <c r="A965" s="18"/>
      <c r="B965" s="11"/>
      <c r="C965" s="11"/>
      <c r="D965" s="11"/>
      <c r="E965" s="11"/>
      <c r="F965" s="11"/>
      <c r="G965" s="11"/>
      <c r="H965" s="11"/>
      <c r="I965" s="11"/>
      <c r="J965" s="11"/>
      <c r="K965" s="11"/>
      <c r="L965" s="15"/>
      <c r="M965" s="15"/>
      <c r="N965" s="15"/>
      <c r="O965" s="15"/>
      <c r="P965" s="15"/>
      <c r="Q965" s="11"/>
      <c r="R965" s="11"/>
      <c r="S965" s="11"/>
      <c r="T965" s="11"/>
      <c r="U965" s="15"/>
      <c r="V965" s="11"/>
      <c r="W965" s="11"/>
      <c r="X965" s="11"/>
      <c r="Y965" s="11"/>
      <c r="Z965" s="11"/>
    </row>
    <row r="966">
      <c r="A966" s="18"/>
      <c r="B966" s="11"/>
      <c r="C966" s="11"/>
      <c r="D966" s="11"/>
      <c r="E966" s="11"/>
      <c r="F966" s="11"/>
      <c r="G966" s="11"/>
      <c r="H966" s="11"/>
      <c r="I966" s="11"/>
      <c r="J966" s="11"/>
      <c r="K966" s="11"/>
      <c r="L966" s="15"/>
      <c r="M966" s="15"/>
      <c r="N966" s="15"/>
      <c r="O966" s="15"/>
      <c r="P966" s="15"/>
      <c r="Q966" s="11"/>
      <c r="R966" s="11"/>
      <c r="S966" s="11"/>
      <c r="T966" s="11"/>
      <c r="U966" s="15"/>
      <c r="V966" s="11"/>
      <c r="W966" s="11"/>
      <c r="X966" s="11"/>
      <c r="Y966" s="11"/>
      <c r="Z966" s="11"/>
    </row>
    <row r="967">
      <c r="A967" s="18"/>
      <c r="B967" s="11"/>
      <c r="C967" s="11"/>
      <c r="D967" s="11"/>
      <c r="E967" s="11"/>
      <c r="F967" s="11"/>
      <c r="G967" s="11"/>
      <c r="H967" s="11"/>
      <c r="I967" s="11"/>
      <c r="J967" s="11"/>
      <c r="K967" s="11"/>
      <c r="L967" s="15"/>
      <c r="M967" s="15"/>
      <c r="N967" s="15"/>
      <c r="O967" s="15"/>
      <c r="P967" s="15"/>
      <c r="Q967" s="11"/>
      <c r="R967" s="11"/>
      <c r="S967" s="11"/>
      <c r="T967" s="11"/>
      <c r="U967" s="15"/>
      <c r="V967" s="11"/>
      <c r="W967" s="11"/>
      <c r="X967" s="11"/>
      <c r="Y967" s="11"/>
      <c r="Z967" s="11"/>
    </row>
    <row r="968">
      <c r="A968" s="18"/>
      <c r="B968" s="11"/>
      <c r="C968" s="11"/>
      <c r="D968" s="11"/>
      <c r="E968" s="11"/>
      <c r="F968" s="11"/>
      <c r="G968" s="11"/>
      <c r="H968" s="11"/>
      <c r="I968" s="11"/>
      <c r="J968" s="11"/>
      <c r="K968" s="11"/>
      <c r="L968" s="15"/>
      <c r="M968" s="15"/>
      <c r="N968" s="15"/>
      <c r="O968" s="15"/>
      <c r="P968" s="15"/>
      <c r="Q968" s="11"/>
      <c r="R968" s="11"/>
      <c r="S968" s="11"/>
      <c r="T968" s="11"/>
      <c r="U968" s="15"/>
      <c r="V968" s="11"/>
      <c r="W968" s="11"/>
      <c r="X968" s="11"/>
      <c r="Y968" s="11"/>
      <c r="Z968" s="11"/>
    </row>
    <row r="969">
      <c r="A969" s="18"/>
      <c r="B969" s="11"/>
      <c r="C969" s="11"/>
      <c r="D969" s="11"/>
      <c r="E969" s="11"/>
      <c r="F969" s="11"/>
      <c r="G969" s="11"/>
      <c r="H969" s="11"/>
      <c r="I969" s="11"/>
      <c r="J969" s="11"/>
      <c r="K969" s="11"/>
      <c r="L969" s="15"/>
      <c r="M969" s="15"/>
      <c r="N969" s="15"/>
      <c r="O969" s="15"/>
      <c r="P969" s="15"/>
      <c r="Q969" s="11"/>
      <c r="R969" s="11"/>
      <c r="S969" s="11"/>
      <c r="T969" s="11"/>
      <c r="U969" s="15"/>
      <c r="V969" s="11"/>
      <c r="W969" s="11"/>
      <c r="X969" s="11"/>
      <c r="Y969" s="11"/>
      <c r="Z969" s="11"/>
    </row>
    <row r="970">
      <c r="A970" s="18"/>
      <c r="B970" s="11"/>
      <c r="C970" s="11"/>
      <c r="D970" s="11"/>
      <c r="E970" s="11"/>
      <c r="F970" s="11"/>
      <c r="G970" s="11"/>
      <c r="H970" s="11"/>
      <c r="I970" s="11"/>
      <c r="J970" s="11"/>
      <c r="K970" s="11"/>
      <c r="L970" s="15"/>
      <c r="M970" s="15"/>
      <c r="N970" s="15"/>
      <c r="O970" s="15"/>
      <c r="P970" s="15"/>
      <c r="Q970" s="11"/>
      <c r="R970" s="11"/>
      <c r="S970" s="11"/>
      <c r="T970" s="11"/>
      <c r="U970" s="15"/>
      <c r="V970" s="11"/>
      <c r="W970" s="11"/>
      <c r="X970" s="11"/>
      <c r="Y970" s="11"/>
      <c r="Z970" s="11"/>
    </row>
    <row r="971">
      <c r="A971" s="18"/>
      <c r="B971" s="11"/>
      <c r="C971" s="11"/>
      <c r="D971" s="11"/>
      <c r="E971" s="11"/>
      <c r="F971" s="11"/>
      <c r="G971" s="11"/>
      <c r="H971" s="11"/>
      <c r="I971" s="11"/>
      <c r="J971" s="11"/>
      <c r="K971" s="11"/>
      <c r="L971" s="15"/>
      <c r="M971" s="15"/>
      <c r="N971" s="15"/>
      <c r="O971" s="15"/>
      <c r="P971" s="15"/>
      <c r="Q971" s="11"/>
      <c r="R971" s="11"/>
      <c r="S971" s="11"/>
      <c r="T971" s="11"/>
      <c r="U971" s="15"/>
      <c r="V971" s="11"/>
      <c r="W971" s="11"/>
      <c r="X971" s="11"/>
      <c r="Y971" s="11"/>
      <c r="Z971" s="11"/>
    </row>
    <row r="972">
      <c r="A972" s="18"/>
      <c r="B972" s="11"/>
      <c r="C972" s="11"/>
      <c r="D972" s="11"/>
      <c r="E972" s="11"/>
      <c r="F972" s="11"/>
      <c r="G972" s="11"/>
      <c r="H972" s="11"/>
      <c r="I972" s="11"/>
      <c r="J972" s="11"/>
      <c r="K972" s="11"/>
      <c r="L972" s="15"/>
      <c r="M972" s="15"/>
      <c r="N972" s="15"/>
      <c r="O972" s="15"/>
      <c r="P972" s="15"/>
      <c r="Q972" s="11"/>
      <c r="R972" s="11"/>
      <c r="S972" s="11"/>
      <c r="T972" s="11"/>
      <c r="U972" s="15"/>
      <c r="V972" s="11"/>
      <c r="W972" s="11"/>
      <c r="X972" s="11"/>
      <c r="Y972" s="11"/>
      <c r="Z972" s="11"/>
    </row>
    <row r="973">
      <c r="A973" s="18"/>
      <c r="B973" s="11"/>
      <c r="C973" s="11"/>
      <c r="D973" s="11"/>
      <c r="E973" s="11"/>
      <c r="F973" s="11"/>
      <c r="G973" s="11"/>
      <c r="H973" s="11"/>
      <c r="I973" s="11"/>
      <c r="J973" s="11"/>
      <c r="K973" s="11"/>
      <c r="L973" s="15"/>
      <c r="M973" s="15"/>
      <c r="N973" s="15"/>
      <c r="O973" s="15"/>
      <c r="P973" s="15"/>
      <c r="Q973" s="11"/>
      <c r="R973" s="11"/>
      <c r="S973" s="11"/>
      <c r="T973" s="11"/>
      <c r="U973" s="15"/>
      <c r="V973" s="11"/>
      <c r="W973" s="11"/>
      <c r="X973" s="11"/>
      <c r="Y973" s="11"/>
      <c r="Z973" s="11"/>
    </row>
    <row r="974">
      <c r="A974" s="18"/>
      <c r="B974" s="11"/>
      <c r="C974" s="11"/>
      <c r="D974" s="11"/>
      <c r="E974" s="11"/>
      <c r="F974" s="11"/>
      <c r="G974" s="11"/>
      <c r="H974" s="11"/>
      <c r="I974" s="11"/>
      <c r="J974" s="11"/>
      <c r="K974" s="11"/>
      <c r="L974" s="15"/>
      <c r="M974" s="15"/>
      <c r="N974" s="15"/>
      <c r="O974" s="15"/>
      <c r="P974" s="15"/>
      <c r="Q974" s="11"/>
      <c r="R974" s="11"/>
      <c r="S974" s="11"/>
      <c r="T974" s="11"/>
      <c r="U974" s="15"/>
      <c r="V974" s="11"/>
      <c r="W974" s="11"/>
      <c r="X974" s="11"/>
      <c r="Y974" s="11"/>
      <c r="Z974" s="11"/>
    </row>
    <row r="975">
      <c r="A975" s="18"/>
      <c r="B975" s="11"/>
      <c r="C975" s="11"/>
      <c r="D975" s="11"/>
      <c r="E975" s="11"/>
      <c r="F975" s="11"/>
      <c r="G975" s="11"/>
      <c r="H975" s="11"/>
      <c r="I975" s="11"/>
      <c r="J975" s="11"/>
      <c r="K975" s="11"/>
      <c r="L975" s="15"/>
      <c r="M975" s="15"/>
      <c r="N975" s="15"/>
      <c r="O975" s="15"/>
      <c r="P975" s="15"/>
      <c r="Q975" s="11"/>
      <c r="R975" s="11"/>
      <c r="S975" s="11"/>
      <c r="T975" s="11"/>
      <c r="U975" s="15"/>
      <c r="V975" s="11"/>
      <c r="W975" s="11"/>
      <c r="X975" s="11"/>
      <c r="Y975" s="11"/>
      <c r="Z975" s="11"/>
    </row>
    <row r="976">
      <c r="A976" s="18"/>
      <c r="B976" s="11"/>
      <c r="C976" s="11"/>
      <c r="D976" s="11"/>
      <c r="E976" s="11"/>
      <c r="F976" s="11"/>
      <c r="G976" s="11"/>
      <c r="H976" s="11"/>
      <c r="I976" s="11"/>
      <c r="J976" s="11"/>
      <c r="K976" s="11"/>
      <c r="L976" s="15"/>
      <c r="M976" s="15"/>
      <c r="N976" s="15"/>
      <c r="O976" s="15"/>
      <c r="P976" s="15"/>
      <c r="Q976" s="11"/>
      <c r="R976" s="11"/>
      <c r="S976" s="11"/>
      <c r="T976" s="11"/>
      <c r="U976" s="15"/>
      <c r="V976" s="11"/>
      <c r="W976" s="11"/>
      <c r="X976" s="11"/>
      <c r="Y976" s="11"/>
      <c r="Z976" s="11"/>
    </row>
    <row r="977">
      <c r="A977" s="18"/>
      <c r="B977" s="11"/>
      <c r="C977" s="11"/>
      <c r="D977" s="11"/>
      <c r="E977" s="11"/>
      <c r="F977" s="11"/>
      <c r="G977" s="11"/>
      <c r="H977" s="11"/>
      <c r="I977" s="11"/>
      <c r="J977" s="11"/>
      <c r="K977" s="11"/>
      <c r="L977" s="15"/>
      <c r="M977" s="15"/>
      <c r="N977" s="15"/>
      <c r="O977" s="15"/>
      <c r="P977" s="15"/>
      <c r="Q977" s="11"/>
      <c r="R977" s="11"/>
      <c r="S977" s="11"/>
      <c r="T977" s="11"/>
      <c r="U977" s="15"/>
      <c r="V977" s="11"/>
      <c r="W977" s="11"/>
      <c r="X977" s="11"/>
      <c r="Y977" s="11"/>
      <c r="Z977" s="11"/>
    </row>
    <row r="978">
      <c r="A978" s="18"/>
      <c r="B978" s="11"/>
      <c r="C978" s="11"/>
      <c r="D978" s="11"/>
      <c r="E978" s="11"/>
      <c r="F978" s="11"/>
      <c r="G978" s="11"/>
      <c r="H978" s="11"/>
      <c r="I978" s="11"/>
      <c r="J978" s="11"/>
      <c r="K978" s="11"/>
      <c r="L978" s="15"/>
      <c r="M978" s="15"/>
      <c r="N978" s="15"/>
      <c r="O978" s="15"/>
      <c r="P978" s="15"/>
      <c r="Q978" s="11"/>
      <c r="R978" s="11"/>
      <c r="S978" s="11"/>
      <c r="T978" s="11"/>
      <c r="U978" s="15"/>
      <c r="V978" s="11"/>
      <c r="W978" s="11"/>
      <c r="X978" s="11"/>
      <c r="Y978" s="11"/>
      <c r="Z978" s="11"/>
    </row>
    <row r="979">
      <c r="A979" s="18"/>
      <c r="B979" s="11"/>
      <c r="C979" s="11"/>
      <c r="D979" s="11"/>
      <c r="E979" s="11"/>
      <c r="F979" s="11"/>
      <c r="G979" s="11"/>
      <c r="H979" s="11"/>
      <c r="I979" s="11"/>
      <c r="J979" s="11"/>
      <c r="K979" s="11"/>
      <c r="L979" s="15"/>
      <c r="M979" s="15"/>
      <c r="N979" s="15"/>
      <c r="O979" s="15"/>
      <c r="P979" s="15"/>
      <c r="Q979" s="11"/>
      <c r="R979" s="11"/>
      <c r="S979" s="11"/>
      <c r="T979" s="11"/>
      <c r="U979" s="15"/>
      <c r="V979" s="11"/>
      <c r="W979" s="11"/>
      <c r="X979" s="11"/>
      <c r="Y979" s="11"/>
      <c r="Z979" s="11"/>
    </row>
    <row r="980">
      <c r="A980" s="18"/>
      <c r="B980" s="11"/>
      <c r="C980" s="11"/>
      <c r="D980" s="11"/>
      <c r="E980" s="11"/>
      <c r="F980" s="11"/>
      <c r="G980" s="11"/>
      <c r="H980" s="11"/>
      <c r="I980" s="11"/>
      <c r="J980" s="11"/>
      <c r="K980" s="11"/>
      <c r="L980" s="15"/>
      <c r="M980" s="15"/>
      <c r="N980" s="15"/>
      <c r="O980" s="15"/>
      <c r="P980" s="15"/>
      <c r="Q980" s="11"/>
      <c r="R980" s="11"/>
      <c r="S980" s="11"/>
      <c r="T980" s="11"/>
      <c r="U980" s="15"/>
      <c r="V980" s="11"/>
      <c r="W980" s="11"/>
      <c r="X980" s="11"/>
      <c r="Y980" s="11"/>
      <c r="Z980" s="11"/>
    </row>
    <row r="981">
      <c r="A981" s="18"/>
      <c r="B981" s="11"/>
      <c r="C981" s="11"/>
      <c r="D981" s="11"/>
      <c r="E981" s="11"/>
      <c r="F981" s="11"/>
      <c r="G981" s="11"/>
      <c r="H981" s="11"/>
      <c r="I981" s="11"/>
      <c r="J981" s="11"/>
      <c r="K981" s="11"/>
      <c r="L981" s="15"/>
      <c r="M981" s="15"/>
      <c r="N981" s="15"/>
      <c r="O981" s="15"/>
      <c r="P981" s="15"/>
      <c r="Q981" s="11"/>
      <c r="R981" s="11"/>
      <c r="S981" s="11"/>
      <c r="T981" s="11"/>
      <c r="U981" s="15"/>
      <c r="V981" s="11"/>
      <c r="W981" s="11"/>
      <c r="X981" s="11"/>
      <c r="Y981" s="11"/>
      <c r="Z981" s="11"/>
    </row>
    <row r="982">
      <c r="A982" s="18"/>
      <c r="B982" s="11"/>
      <c r="C982" s="11"/>
      <c r="D982" s="11"/>
      <c r="E982" s="11"/>
      <c r="F982" s="11"/>
      <c r="G982" s="11"/>
      <c r="H982" s="11"/>
      <c r="I982" s="11"/>
      <c r="J982" s="11"/>
      <c r="K982" s="11"/>
      <c r="L982" s="15"/>
      <c r="M982" s="15"/>
      <c r="N982" s="15"/>
      <c r="O982" s="15"/>
      <c r="P982" s="15"/>
      <c r="Q982" s="11"/>
      <c r="R982" s="11"/>
      <c r="S982" s="11"/>
      <c r="T982" s="11"/>
      <c r="U982" s="15"/>
      <c r="V982" s="11"/>
      <c r="W982" s="11"/>
      <c r="X982" s="11"/>
      <c r="Y982" s="11"/>
      <c r="Z982" s="11"/>
    </row>
    <row r="983">
      <c r="A983" s="18"/>
      <c r="B983" s="11"/>
      <c r="C983" s="11"/>
      <c r="D983" s="11"/>
      <c r="E983" s="11"/>
      <c r="F983" s="11"/>
      <c r="G983" s="11"/>
      <c r="H983" s="11"/>
      <c r="I983" s="11"/>
      <c r="J983" s="11"/>
      <c r="K983" s="11"/>
      <c r="L983" s="15"/>
      <c r="M983" s="15"/>
      <c r="N983" s="15"/>
      <c r="O983" s="15"/>
      <c r="P983" s="15"/>
      <c r="Q983" s="11"/>
      <c r="R983" s="11"/>
      <c r="S983" s="11"/>
      <c r="T983" s="11"/>
      <c r="U983" s="15"/>
      <c r="V983" s="11"/>
      <c r="W983" s="11"/>
      <c r="X983" s="11"/>
      <c r="Y983" s="11"/>
      <c r="Z983" s="11"/>
    </row>
    <row r="984">
      <c r="A984" s="18"/>
      <c r="B984" s="11"/>
      <c r="C984" s="11"/>
      <c r="D984" s="11"/>
      <c r="E984" s="11"/>
      <c r="F984" s="11"/>
      <c r="G984" s="11"/>
      <c r="H984" s="11"/>
      <c r="I984" s="11"/>
      <c r="J984" s="11"/>
      <c r="K984" s="11"/>
      <c r="L984" s="15"/>
      <c r="M984" s="15"/>
      <c r="N984" s="15"/>
      <c r="O984" s="15"/>
      <c r="P984" s="15"/>
      <c r="Q984" s="11"/>
      <c r="R984" s="11"/>
      <c r="S984" s="11"/>
      <c r="T984" s="11"/>
      <c r="U984" s="15"/>
      <c r="V984" s="11"/>
      <c r="W984" s="11"/>
      <c r="X984" s="11"/>
      <c r="Y984" s="11"/>
      <c r="Z984" s="11"/>
    </row>
    <row r="985">
      <c r="A985" s="18"/>
      <c r="B985" s="11"/>
      <c r="C985" s="11"/>
      <c r="D985" s="11"/>
      <c r="E985" s="11"/>
      <c r="F985" s="11"/>
      <c r="G985" s="11"/>
      <c r="H985" s="11"/>
      <c r="I985" s="11"/>
      <c r="J985" s="11"/>
      <c r="K985" s="11"/>
      <c r="L985" s="15"/>
      <c r="M985" s="15"/>
      <c r="N985" s="15"/>
      <c r="O985" s="15"/>
      <c r="P985" s="15"/>
      <c r="Q985" s="11"/>
      <c r="R985" s="11"/>
      <c r="S985" s="11"/>
      <c r="T985" s="11"/>
      <c r="U985" s="15"/>
      <c r="V985" s="11"/>
      <c r="W985" s="11"/>
      <c r="X985" s="11"/>
      <c r="Y985" s="11"/>
      <c r="Z985" s="11"/>
    </row>
    <row r="986">
      <c r="A986" s="18"/>
      <c r="B986" s="11"/>
      <c r="C986" s="11"/>
      <c r="D986" s="11"/>
      <c r="E986" s="11"/>
      <c r="F986" s="11"/>
      <c r="G986" s="11"/>
      <c r="H986" s="11"/>
      <c r="I986" s="11"/>
      <c r="J986" s="11"/>
      <c r="K986" s="11"/>
      <c r="L986" s="15"/>
      <c r="M986" s="15"/>
      <c r="N986" s="15"/>
      <c r="O986" s="15"/>
      <c r="P986" s="15"/>
      <c r="Q986" s="11"/>
      <c r="R986" s="11"/>
      <c r="S986" s="11"/>
      <c r="T986" s="11"/>
      <c r="U986" s="15"/>
      <c r="V986" s="11"/>
      <c r="W986" s="11"/>
      <c r="X986" s="11"/>
      <c r="Y986" s="11"/>
      <c r="Z986" s="11"/>
    </row>
    <row r="987">
      <c r="A987" s="18"/>
      <c r="B987" s="11"/>
      <c r="C987" s="11"/>
      <c r="D987" s="11"/>
      <c r="E987" s="11"/>
      <c r="F987" s="11"/>
      <c r="G987" s="11"/>
      <c r="H987" s="11"/>
      <c r="I987" s="11"/>
      <c r="J987" s="11"/>
      <c r="K987" s="11"/>
      <c r="L987" s="15"/>
      <c r="M987" s="15"/>
      <c r="N987" s="15"/>
      <c r="O987" s="15"/>
      <c r="P987" s="15"/>
      <c r="Q987" s="11"/>
      <c r="R987" s="11"/>
      <c r="S987" s="11"/>
      <c r="T987" s="11"/>
      <c r="U987" s="15"/>
      <c r="V987" s="11"/>
      <c r="W987" s="11"/>
      <c r="X987" s="11"/>
      <c r="Y987" s="11"/>
      <c r="Z987" s="11"/>
    </row>
    <row r="988">
      <c r="A988" s="18"/>
      <c r="B988" s="11"/>
      <c r="C988" s="11"/>
      <c r="D988" s="11"/>
      <c r="E988" s="11"/>
      <c r="F988" s="11"/>
      <c r="G988" s="11"/>
      <c r="H988" s="11"/>
      <c r="I988" s="11"/>
      <c r="J988" s="11"/>
      <c r="K988" s="11"/>
      <c r="L988" s="15"/>
      <c r="M988" s="15"/>
      <c r="N988" s="15"/>
      <c r="O988" s="15"/>
      <c r="P988" s="15"/>
      <c r="Q988" s="11"/>
      <c r="R988" s="11"/>
      <c r="S988" s="11"/>
      <c r="T988" s="11"/>
      <c r="U988" s="15"/>
      <c r="V988" s="11"/>
      <c r="W988" s="11"/>
      <c r="X988" s="11"/>
      <c r="Y988" s="11"/>
      <c r="Z988" s="11"/>
    </row>
    <row r="989">
      <c r="A989" s="18"/>
      <c r="B989" s="11"/>
      <c r="C989" s="11"/>
      <c r="D989" s="11"/>
      <c r="E989" s="11"/>
      <c r="F989" s="11"/>
      <c r="G989" s="11"/>
      <c r="H989" s="11"/>
      <c r="I989" s="11"/>
      <c r="J989" s="11"/>
      <c r="K989" s="11"/>
      <c r="L989" s="15"/>
      <c r="M989" s="15"/>
      <c r="N989" s="15"/>
      <c r="O989" s="15"/>
      <c r="P989" s="15"/>
      <c r="Q989" s="11"/>
      <c r="R989" s="11"/>
      <c r="S989" s="11"/>
      <c r="T989" s="11"/>
      <c r="U989" s="15"/>
      <c r="V989" s="11"/>
      <c r="W989" s="11"/>
      <c r="X989" s="11"/>
      <c r="Y989" s="11"/>
      <c r="Z989" s="11"/>
    </row>
    <row r="990">
      <c r="A990" s="18"/>
      <c r="B990" s="11"/>
      <c r="C990" s="11"/>
      <c r="D990" s="11"/>
      <c r="E990" s="11"/>
      <c r="F990" s="11"/>
      <c r="G990" s="11"/>
      <c r="H990" s="11"/>
      <c r="I990" s="11"/>
      <c r="J990" s="11"/>
      <c r="K990" s="11"/>
      <c r="L990" s="15"/>
      <c r="M990" s="15"/>
      <c r="N990" s="15"/>
      <c r="O990" s="15"/>
      <c r="P990" s="15"/>
      <c r="Q990" s="11"/>
      <c r="R990" s="11"/>
      <c r="S990" s="11"/>
      <c r="T990" s="11"/>
      <c r="U990" s="15"/>
      <c r="V990" s="11"/>
      <c r="W990" s="11"/>
      <c r="X990" s="11"/>
      <c r="Y990" s="11"/>
      <c r="Z990" s="11"/>
    </row>
    <row r="991">
      <c r="A991" s="18"/>
      <c r="B991" s="11"/>
      <c r="C991" s="11"/>
      <c r="D991" s="11"/>
      <c r="E991" s="11"/>
      <c r="F991" s="11"/>
      <c r="G991" s="11"/>
      <c r="H991" s="11"/>
      <c r="I991" s="11"/>
      <c r="J991" s="11"/>
      <c r="K991" s="11"/>
      <c r="L991" s="15"/>
      <c r="M991" s="15"/>
      <c r="N991" s="15"/>
      <c r="O991" s="15"/>
      <c r="P991" s="15"/>
      <c r="Q991" s="11"/>
      <c r="R991" s="11"/>
      <c r="S991" s="11"/>
      <c r="T991" s="11"/>
      <c r="U991" s="15"/>
      <c r="V991" s="11"/>
      <c r="W991" s="11"/>
      <c r="X991" s="11"/>
      <c r="Y991" s="11"/>
      <c r="Z991" s="11"/>
    </row>
    <row r="992">
      <c r="A992" s="18"/>
      <c r="B992" s="11"/>
      <c r="C992" s="11"/>
      <c r="D992" s="11"/>
      <c r="E992" s="11"/>
      <c r="F992" s="11"/>
      <c r="G992" s="11"/>
      <c r="H992" s="11"/>
      <c r="I992" s="11"/>
      <c r="J992" s="11"/>
      <c r="K992" s="11"/>
      <c r="L992" s="15"/>
      <c r="M992" s="15"/>
      <c r="N992" s="15"/>
      <c r="O992" s="15"/>
      <c r="P992" s="15"/>
      <c r="Q992" s="11"/>
      <c r="R992" s="11"/>
      <c r="S992" s="11"/>
      <c r="T992" s="11"/>
      <c r="U992" s="15"/>
      <c r="V992" s="11"/>
      <c r="W992" s="11"/>
      <c r="X992" s="11"/>
      <c r="Y992" s="11"/>
      <c r="Z992" s="11"/>
    </row>
    <row r="993">
      <c r="A993" s="18"/>
      <c r="B993" s="11"/>
      <c r="C993" s="11"/>
      <c r="D993" s="11"/>
      <c r="E993" s="11"/>
      <c r="F993" s="11"/>
      <c r="G993" s="11"/>
      <c r="H993" s="11"/>
      <c r="I993" s="11"/>
      <c r="J993" s="11"/>
      <c r="K993" s="11"/>
      <c r="L993" s="15"/>
      <c r="M993" s="15"/>
      <c r="N993" s="15"/>
      <c r="O993" s="15"/>
      <c r="P993" s="15"/>
      <c r="Q993" s="11"/>
      <c r="R993" s="11"/>
      <c r="S993" s="11"/>
      <c r="T993" s="11"/>
      <c r="U993" s="15"/>
      <c r="V993" s="11"/>
      <c r="W993" s="11"/>
      <c r="X993" s="11"/>
      <c r="Y993" s="11"/>
      <c r="Z993" s="11"/>
    </row>
    <row r="994">
      <c r="A994" s="18"/>
      <c r="B994" s="11"/>
      <c r="C994" s="11"/>
      <c r="D994" s="11"/>
      <c r="E994" s="11"/>
      <c r="F994" s="11"/>
      <c r="G994" s="11"/>
      <c r="H994" s="11"/>
      <c r="I994" s="11"/>
      <c r="J994" s="11"/>
      <c r="K994" s="11"/>
      <c r="L994" s="15"/>
      <c r="M994" s="15"/>
      <c r="N994" s="15"/>
      <c r="O994" s="15"/>
      <c r="P994" s="15"/>
      <c r="Q994" s="11"/>
      <c r="R994" s="11"/>
      <c r="S994" s="11"/>
      <c r="T994" s="11"/>
      <c r="U994" s="15"/>
      <c r="V994" s="11"/>
      <c r="W994" s="11"/>
      <c r="X994" s="11"/>
      <c r="Y994" s="11"/>
      <c r="Z994" s="11"/>
    </row>
    <row r="995">
      <c r="A995" s="18"/>
      <c r="B995" s="11"/>
      <c r="C995" s="11"/>
      <c r="D995" s="11"/>
      <c r="E995" s="11"/>
      <c r="F995" s="11"/>
      <c r="G995" s="11"/>
      <c r="H995" s="11"/>
      <c r="I995" s="11"/>
      <c r="J995" s="11"/>
      <c r="K995" s="11"/>
      <c r="L995" s="15"/>
      <c r="M995" s="15"/>
      <c r="N995" s="15"/>
      <c r="O995" s="15"/>
      <c r="P995" s="15"/>
      <c r="Q995" s="11"/>
      <c r="R995" s="11"/>
      <c r="S995" s="11"/>
      <c r="T995" s="11"/>
      <c r="U995" s="15"/>
      <c r="V995" s="11"/>
      <c r="W995" s="11"/>
      <c r="X995" s="11"/>
      <c r="Y995" s="11"/>
      <c r="Z995" s="11"/>
    </row>
    <row r="996">
      <c r="A996" s="18"/>
      <c r="B996" s="11"/>
      <c r="C996" s="11"/>
      <c r="D996" s="11"/>
      <c r="E996" s="11"/>
      <c r="F996" s="11"/>
      <c r="G996" s="11"/>
      <c r="H996" s="11"/>
      <c r="I996" s="11"/>
      <c r="J996" s="11"/>
      <c r="K996" s="11"/>
      <c r="L996" s="15"/>
      <c r="M996" s="15"/>
      <c r="N996" s="15"/>
      <c r="O996" s="15"/>
      <c r="P996" s="15"/>
      <c r="Q996" s="11"/>
      <c r="R996" s="11"/>
      <c r="S996" s="11"/>
      <c r="T996" s="11"/>
      <c r="U996" s="15"/>
      <c r="V996" s="11"/>
      <c r="W996" s="11"/>
      <c r="X996" s="11"/>
      <c r="Y996" s="11"/>
      <c r="Z996" s="11"/>
    </row>
    <row r="997">
      <c r="A997" s="18"/>
      <c r="B997" s="11"/>
      <c r="C997" s="11"/>
      <c r="D997" s="11"/>
      <c r="E997" s="11"/>
      <c r="F997" s="11"/>
      <c r="G997" s="11"/>
      <c r="H997" s="11"/>
      <c r="I997" s="11"/>
      <c r="J997" s="11"/>
      <c r="K997" s="11"/>
      <c r="L997" s="15"/>
      <c r="M997" s="15"/>
      <c r="N997" s="15"/>
      <c r="O997" s="15"/>
      <c r="P997" s="15"/>
      <c r="Q997" s="11"/>
      <c r="R997" s="11"/>
      <c r="S997" s="11"/>
      <c r="T997" s="11"/>
      <c r="U997" s="15"/>
      <c r="V997" s="11"/>
      <c r="W997" s="11"/>
      <c r="X997" s="11"/>
      <c r="Y997" s="11"/>
      <c r="Z997" s="11"/>
    </row>
    <row r="998">
      <c r="A998" s="18"/>
      <c r="B998" s="11"/>
      <c r="C998" s="11"/>
      <c r="D998" s="11"/>
      <c r="E998" s="11"/>
      <c r="F998" s="11"/>
      <c r="G998" s="11"/>
      <c r="H998" s="11"/>
      <c r="I998" s="11"/>
      <c r="J998" s="11"/>
      <c r="K998" s="11"/>
      <c r="L998" s="15"/>
      <c r="M998" s="15"/>
      <c r="N998" s="15"/>
      <c r="O998" s="15"/>
      <c r="P998" s="15"/>
      <c r="Q998" s="11"/>
      <c r="R998" s="11"/>
      <c r="S998" s="11"/>
      <c r="T998" s="11"/>
      <c r="U998" s="15"/>
      <c r="V998" s="11"/>
      <c r="W998" s="11"/>
      <c r="X998" s="11"/>
      <c r="Y998" s="11"/>
      <c r="Z998" s="11"/>
    </row>
    <row r="999">
      <c r="A999" s="18"/>
      <c r="B999" s="11"/>
      <c r="C999" s="11"/>
      <c r="D999" s="11"/>
      <c r="E999" s="11"/>
      <c r="F999" s="11"/>
      <c r="G999" s="11"/>
      <c r="H999" s="11"/>
      <c r="I999" s="11"/>
      <c r="J999" s="11"/>
      <c r="K999" s="11"/>
      <c r="L999" s="15"/>
      <c r="M999" s="15"/>
      <c r="N999" s="15"/>
      <c r="O999" s="15"/>
      <c r="P999" s="15"/>
      <c r="Q999" s="11"/>
      <c r="R999" s="11"/>
      <c r="S999" s="11"/>
      <c r="T999" s="11"/>
      <c r="U999" s="15"/>
      <c r="V999" s="11"/>
      <c r="W999" s="11"/>
      <c r="X999" s="11"/>
      <c r="Y999" s="11"/>
      <c r="Z999" s="11"/>
    </row>
    <row r="1000">
      <c r="A1000" s="18"/>
      <c r="B1000" s="11"/>
      <c r="C1000" s="11"/>
      <c r="D1000" s="11"/>
      <c r="E1000" s="11"/>
      <c r="F1000" s="11"/>
      <c r="G1000" s="11"/>
      <c r="H1000" s="11"/>
      <c r="I1000" s="11"/>
      <c r="J1000" s="11"/>
      <c r="K1000" s="11"/>
      <c r="L1000" s="15"/>
      <c r="M1000" s="15"/>
      <c r="N1000" s="15"/>
      <c r="O1000" s="15"/>
      <c r="P1000" s="15"/>
      <c r="Q1000" s="11"/>
      <c r="R1000" s="11"/>
      <c r="S1000" s="11"/>
      <c r="T1000" s="11"/>
      <c r="U1000" s="15"/>
      <c r="V1000" s="11"/>
      <c r="W1000" s="11"/>
      <c r="X1000" s="11"/>
      <c r="Y1000" s="11"/>
      <c r="Z1000" s="11"/>
    </row>
    <row r="1001">
      <c r="A1001" s="18"/>
      <c r="B1001" s="11"/>
      <c r="C1001" s="11"/>
      <c r="D1001" s="11"/>
      <c r="E1001" s="11"/>
      <c r="F1001" s="11"/>
      <c r="G1001" s="11"/>
      <c r="H1001" s="11"/>
      <c r="I1001" s="11"/>
      <c r="J1001" s="11"/>
      <c r="K1001" s="11"/>
      <c r="L1001" s="15"/>
      <c r="M1001" s="15"/>
      <c r="N1001" s="15"/>
      <c r="O1001" s="15"/>
      <c r="P1001" s="15"/>
      <c r="Q1001" s="11"/>
      <c r="R1001" s="11"/>
      <c r="S1001" s="11"/>
      <c r="T1001" s="11"/>
      <c r="U1001" s="15"/>
      <c r="V1001" s="11"/>
      <c r="W1001" s="11"/>
      <c r="X1001" s="11"/>
      <c r="Y1001" s="11"/>
      <c r="Z1001" s="11"/>
    </row>
    <row r="1002">
      <c r="A1002" s="18"/>
      <c r="B1002" s="11"/>
      <c r="C1002" s="11"/>
      <c r="D1002" s="11"/>
      <c r="E1002" s="11"/>
      <c r="F1002" s="11"/>
      <c r="G1002" s="11"/>
      <c r="H1002" s="11"/>
      <c r="I1002" s="11"/>
      <c r="J1002" s="11"/>
      <c r="K1002" s="11"/>
      <c r="L1002" s="15"/>
      <c r="M1002" s="15"/>
      <c r="N1002" s="15"/>
      <c r="O1002" s="15"/>
      <c r="P1002" s="15"/>
      <c r="Q1002" s="11"/>
      <c r="R1002" s="11"/>
      <c r="S1002" s="11"/>
      <c r="T1002" s="11"/>
      <c r="U1002" s="15"/>
      <c r="V1002" s="11"/>
      <c r="W1002" s="11"/>
      <c r="X1002" s="11"/>
      <c r="Y1002" s="11"/>
      <c r="Z1002" s="11"/>
    </row>
    <row r="1003">
      <c r="A1003" s="18"/>
      <c r="B1003" s="11"/>
      <c r="C1003" s="11"/>
      <c r="D1003" s="11"/>
      <c r="E1003" s="11"/>
      <c r="F1003" s="11"/>
      <c r="G1003" s="11"/>
      <c r="H1003" s="11"/>
      <c r="I1003" s="11"/>
      <c r="J1003" s="11"/>
      <c r="K1003" s="11"/>
      <c r="L1003" s="15"/>
      <c r="M1003" s="15"/>
      <c r="N1003" s="15"/>
      <c r="O1003" s="15"/>
      <c r="P1003" s="15"/>
      <c r="Q1003" s="11"/>
      <c r="R1003" s="11"/>
      <c r="S1003" s="11"/>
      <c r="T1003" s="11"/>
      <c r="U1003" s="15"/>
      <c r="V1003" s="11"/>
      <c r="W1003" s="11"/>
      <c r="X1003" s="11"/>
      <c r="Y1003" s="11"/>
      <c r="Z1003" s="11"/>
    </row>
    <row r="1004">
      <c r="A1004" s="18"/>
      <c r="B1004" s="11"/>
      <c r="C1004" s="11"/>
      <c r="D1004" s="11"/>
      <c r="E1004" s="11"/>
      <c r="F1004" s="11"/>
      <c r="G1004" s="11"/>
      <c r="H1004" s="11"/>
      <c r="I1004" s="11"/>
      <c r="J1004" s="11"/>
      <c r="K1004" s="11"/>
      <c r="L1004" s="15"/>
      <c r="M1004" s="15"/>
      <c r="N1004" s="15"/>
      <c r="O1004" s="15"/>
      <c r="P1004" s="15"/>
      <c r="Q1004" s="11"/>
      <c r="R1004" s="11"/>
      <c r="S1004" s="11"/>
      <c r="T1004" s="11"/>
      <c r="U1004" s="15"/>
      <c r="V1004" s="11"/>
      <c r="W1004" s="11"/>
      <c r="X1004" s="11"/>
      <c r="Y1004" s="11"/>
      <c r="Z1004" s="11"/>
    </row>
    <row r="1005">
      <c r="A1005" s="18"/>
      <c r="B1005" s="11"/>
      <c r="C1005" s="11"/>
      <c r="D1005" s="11"/>
      <c r="E1005" s="11"/>
      <c r="F1005" s="11"/>
      <c r="G1005" s="11"/>
      <c r="H1005" s="11"/>
      <c r="I1005" s="11"/>
      <c r="J1005" s="11"/>
      <c r="K1005" s="11"/>
      <c r="L1005" s="15"/>
      <c r="M1005" s="15"/>
      <c r="N1005" s="15"/>
      <c r="O1005" s="15"/>
      <c r="P1005" s="15"/>
      <c r="Q1005" s="11"/>
      <c r="R1005" s="11"/>
      <c r="S1005" s="11"/>
      <c r="T1005" s="11"/>
      <c r="U1005" s="15"/>
      <c r="V1005" s="11"/>
      <c r="W1005" s="11"/>
      <c r="X1005" s="11"/>
      <c r="Y1005" s="11"/>
      <c r="Z1005" s="11"/>
    </row>
    <row r="1006">
      <c r="A1006" s="18"/>
      <c r="B1006" s="11"/>
      <c r="C1006" s="11"/>
      <c r="D1006" s="11"/>
      <c r="E1006" s="11"/>
      <c r="F1006" s="11"/>
      <c r="G1006" s="11"/>
      <c r="H1006" s="11"/>
      <c r="I1006" s="11"/>
      <c r="J1006" s="11"/>
      <c r="K1006" s="11"/>
      <c r="L1006" s="15"/>
      <c r="M1006" s="15"/>
      <c r="N1006" s="15"/>
      <c r="O1006" s="15"/>
      <c r="P1006" s="15"/>
      <c r="Q1006" s="11"/>
      <c r="R1006" s="11"/>
      <c r="S1006" s="11"/>
      <c r="T1006" s="11"/>
      <c r="U1006" s="15"/>
      <c r="V1006" s="11"/>
      <c r="W1006" s="11"/>
      <c r="X1006" s="11"/>
      <c r="Y1006" s="11"/>
      <c r="Z1006" s="11"/>
    </row>
    <row r="1007">
      <c r="A1007" s="18"/>
      <c r="B1007" s="11"/>
      <c r="C1007" s="11"/>
      <c r="D1007" s="11"/>
      <c r="E1007" s="11"/>
      <c r="F1007" s="11"/>
      <c r="G1007" s="11"/>
      <c r="H1007" s="11"/>
      <c r="I1007" s="11"/>
      <c r="J1007" s="11"/>
      <c r="K1007" s="11"/>
      <c r="L1007" s="15"/>
      <c r="M1007" s="15"/>
      <c r="N1007" s="15"/>
      <c r="O1007" s="15"/>
      <c r="P1007" s="15"/>
      <c r="Q1007" s="11"/>
      <c r="R1007" s="11"/>
      <c r="S1007" s="11"/>
      <c r="T1007" s="11"/>
      <c r="U1007" s="15"/>
      <c r="V1007" s="11"/>
      <c r="W1007" s="11"/>
      <c r="X1007" s="11"/>
      <c r="Y1007" s="11"/>
      <c r="Z1007" s="11"/>
    </row>
    <row r="1008">
      <c r="A1008" s="18"/>
      <c r="B1008" s="11"/>
      <c r="C1008" s="11"/>
      <c r="D1008" s="11"/>
      <c r="E1008" s="11"/>
      <c r="F1008" s="11"/>
      <c r="G1008" s="11"/>
      <c r="H1008" s="11"/>
      <c r="I1008" s="11"/>
      <c r="J1008" s="11"/>
      <c r="K1008" s="11"/>
      <c r="L1008" s="15"/>
      <c r="M1008" s="15"/>
      <c r="N1008" s="15"/>
      <c r="O1008" s="15"/>
      <c r="P1008" s="15"/>
      <c r="Q1008" s="11"/>
      <c r="R1008" s="11"/>
      <c r="S1008" s="11"/>
      <c r="T1008" s="11"/>
      <c r="U1008" s="15"/>
      <c r="V1008" s="11"/>
      <c r="W1008" s="11"/>
      <c r="X1008" s="11"/>
      <c r="Y1008" s="11"/>
      <c r="Z1008" s="11"/>
    </row>
    <row r="1009">
      <c r="A1009" s="18"/>
      <c r="B1009" s="11"/>
      <c r="C1009" s="11"/>
      <c r="D1009" s="11"/>
      <c r="E1009" s="11"/>
      <c r="F1009" s="11"/>
      <c r="G1009" s="11"/>
      <c r="H1009" s="11"/>
      <c r="I1009" s="11"/>
      <c r="J1009" s="11"/>
      <c r="K1009" s="11"/>
      <c r="L1009" s="15"/>
      <c r="M1009" s="15"/>
      <c r="N1009" s="15"/>
      <c r="O1009" s="15"/>
      <c r="P1009" s="15"/>
      <c r="Q1009" s="11"/>
      <c r="R1009" s="11"/>
      <c r="S1009" s="11"/>
      <c r="T1009" s="11"/>
      <c r="U1009" s="15"/>
      <c r="V1009" s="11"/>
      <c r="W1009" s="11"/>
      <c r="X1009" s="11"/>
      <c r="Y1009" s="11"/>
      <c r="Z1009" s="11"/>
    </row>
    <row r="1010">
      <c r="A1010" s="18"/>
      <c r="B1010" s="11"/>
      <c r="C1010" s="11"/>
      <c r="D1010" s="11"/>
      <c r="E1010" s="11"/>
      <c r="F1010" s="11"/>
      <c r="G1010" s="11"/>
      <c r="H1010" s="11"/>
      <c r="I1010" s="11"/>
      <c r="J1010" s="11"/>
      <c r="K1010" s="11"/>
      <c r="L1010" s="15"/>
      <c r="M1010" s="15"/>
      <c r="N1010" s="15"/>
      <c r="O1010" s="15"/>
      <c r="P1010" s="15"/>
      <c r="Q1010" s="11"/>
      <c r="R1010" s="11"/>
      <c r="S1010" s="11"/>
      <c r="T1010" s="11"/>
      <c r="U1010" s="15"/>
      <c r="V1010" s="11"/>
      <c r="W1010" s="11"/>
      <c r="X1010" s="11"/>
      <c r="Y1010" s="11"/>
      <c r="Z1010" s="11"/>
    </row>
    <row r="1011">
      <c r="A1011" s="18"/>
      <c r="B1011" s="11"/>
      <c r="C1011" s="11"/>
      <c r="D1011" s="11"/>
      <c r="E1011" s="11"/>
      <c r="F1011" s="11"/>
      <c r="G1011" s="11"/>
      <c r="H1011" s="11"/>
      <c r="I1011" s="11"/>
      <c r="J1011" s="11"/>
      <c r="K1011" s="11"/>
      <c r="L1011" s="15"/>
      <c r="M1011" s="15"/>
      <c r="N1011" s="15"/>
      <c r="O1011" s="15"/>
      <c r="P1011" s="15"/>
      <c r="Q1011" s="11"/>
      <c r="R1011" s="11"/>
      <c r="S1011" s="11"/>
      <c r="T1011" s="11"/>
      <c r="U1011" s="15"/>
      <c r="V1011" s="11"/>
      <c r="W1011" s="11"/>
      <c r="X1011" s="11"/>
      <c r="Y1011" s="11"/>
      <c r="Z1011" s="11"/>
    </row>
    <row r="1012">
      <c r="A1012" s="18"/>
      <c r="B1012" s="11"/>
      <c r="C1012" s="11"/>
      <c r="D1012" s="11"/>
      <c r="E1012" s="11"/>
      <c r="F1012" s="11"/>
      <c r="G1012" s="11"/>
      <c r="H1012" s="11"/>
      <c r="I1012" s="11"/>
      <c r="J1012" s="11"/>
      <c r="K1012" s="11"/>
      <c r="L1012" s="15"/>
      <c r="M1012" s="15"/>
      <c r="N1012" s="15"/>
      <c r="O1012" s="15"/>
      <c r="P1012" s="15"/>
      <c r="Q1012" s="11"/>
      <c r="R1012" s="11"/>
      <c r="S1012" s="11"/>
      <c r="T1012" s="11"/>
      <c r="U1012" s="15"/>
      <c r="V1012" s="11"/>
      <c r="W1012" s="11"/>
      <c r="X1012" s="11"/>
      <c r="Y1012" s="11"/>
      <c r="Z1012" s="11"/>
    </row>
    <row r="1013">
      <c r="A1013" s="18"/>
      <c r="B1013" s="11"/>
      <c r="C1013" s="11"/>
      <c r="D1013" s="11"/>
      <c r="E1013" s="11"/>
      <c r="F1013" s="11"/>
      <c r="G1013" s="11"/>
      <c r="H1013" s="11"/>
      <c r="I1013" s="11"/>
      <c r="J1013" s="11"/>
      <c r="K1013" s="11"/>
      <c r="L1013" s="15"/>
      <c r="M1013" s="15"/>
      <c r="N1013" s="15"/>
      <c r="O1013" s="15"/>
      <c r="P1013" s="15"/>
      <c r="Q1013" s="11"/>
      <c r="R1013" s="11"/>
      <c r="S1013" s="11"/>
      <c r="T1013" s="11"/>
      <c r="U1013" s="15"/>
      <c r="V1013" s="11"/>
      <c r="W1013" s="11"/>
      <c r="X1013" s="11"/>
      <c r="Y1013" s="11"/>
      <c r="Z1013" s="11"/>
    </row>
    <row r="1014">
      <c r="A1014" s="18"/>
      <c r="B1014" s="11"/>
      <c r="C1014" s="11"/>
      <c r="D1014" s="11"/>
      <c r="E1014" s="11"/>
      <c r="F1014" s="11"/>
      <c r="G1014" s="11"/>
      <c r="H1014" s="11"/>
      <c r="I1014" s="11"/>
      <c r="J1014" s="11"/>
      <c r="K1014" s="11"/>
      <c r="L1014" s="15"/>
      <c r="M1014" s="15"/>
      <c r="N1014" s="15"/>
      <c r="O1014" s="15"/>
      <c r="P1014" s="15"/>
      <c r="Q1014" s="11"/>
      <c r="R1014" s="11"/>
      <c r="S1014" s="11"/>
      <c r="T1014" s="11"/>
      <c r="U1014" s="15"/>
      <c r="V1014" s="11"/>
      <c r="W1014" s="11"/>
      <c r="X1014" s="11"/>
      <c r="Y1014" s="11"/>
      <c r="Z1014" s="11"/>
    </row>
    <row r="1015">
      <c r="A1015" s="18"/>
      <c r="B1015" s="11"/>
      <c r="C1015" s="11"/>
      <c r="D1015" s="11"/>
      <c r="E1015" s="11"/>
      <c r="F1015" s="11"/>
      <c r="G1015" s="11"/>
      <c r="H1015" s="11"/>
      <c r="I1015" s="11"/>
      <c r="J1015" s="11"/>
      <c r="K1015" s="11"/>
      <c r="L1015" s="15"/>
      <c r="M1015" s="15"/>
      <c r="N1015" s="15"/>
      <c r="O1015" s="15"/>
      <c r="P1015" s="15"/>
      <c r="Q1015" s="11"/>
      <c r="R1015" s="11"/>
      <c r="S1015" s="11"/>
      <c r="T1015" s="11"/>
      <c r="U1015" s="15"/>
      <c r="V1015" s="11"/>
      <c r="W1015" s="11"/>
      <c r="X1015" s="11"/>
      <c r="Y1015" s="11"/>
      <c r="Z1015" s="11"/>
    </row>
    <row r="1016">
      <c r="A1016" s="18"/>
      <c r="B1016" s="11"/>
      <c r="C1016" s="11"/>
      <c r="D1016" s="11"/>
      <c r="E1016" s="11"/>
      <c r="F1016" s="11"/>
      <c r="G1016" s="11"/>
      <c r="H1016" s="11"/>
      <c r="I1016" s="11"/>
      <c r="J1016" s="11"/>
      <c r="K1016" s="11"/>
      <c r="L1016" s="15"/>
      <c r="M1016" s="15"/>
      <c r="N1016" s="15"/>
      <c r="O1016" s="15"/>
      <c r="P1016" s="15"/>
      <c r="Q1016" s="11"/>
      <c r="R1016" s="11"/>
      <c r="S1016" s="11"/>
      <c r="T1016" s="11"/>
      <c r="U1016" s="15"/>
      <c r="V1016" s="11"/>
      <c r="W1016" s="11"/>
      <c r="X1016" s="11"/>
      <c r="Y1016" s="11"/>
      <c r="Z1016" s="11"/>
    </row>
    <row r="1017">
      <c r="A1017" s="18"/>
      <c r="B1017" s="11"/>
      <c r="C1017" s="11"/>
      <c r="D1017" s="11"/>
      <c r="E1017" s="11"/>
      <c r="F1017" s="11"/>
      <c r="G1017" s="11"/>
      <c r="H1017" s="11"/>
      <c r="I1017" s="11"/>
      <c r="J1017" s="11"/>
      <c r="K1017" s="11"/>
      <c r="L1017" s="15"/>
      <c r="M1017" s="15"/>
      <c r="N1017" s="15"/>
      <c r="O1017" s="15"/>
      <c r="P1017" s="15"/>
      <c r="Q1017" s="11"/>
      <c r="R1017" s="11"/>
      <c r="S1017" s="11"/>
      <c r="T1017" s="11"/>
      <c r="U1017" s="15"/>
      <c r="V1017" s="11"/>
      <c r="W1017" s="11"/>
      <c r="X1017" s="11"/>
      <c r="Y1017" s="11"/>
      <c r="Z1017" s="11"/>
    </row>
    <row r="1018">
      <c r="A1018" s="18"/>
      <c r="B1018" s="11"/>
      <c r="C1018" s="11"/>
      <c r="D1018" s="11"/>
      <c r="E1018" s="11"/>
      <c r="F1018" s="11"/>
      <c r="G1018" s="11"/>
      <c r="H1018" s="11"/>
      <c r="I1018" s="11"/>
      <c r="J1018" s="11"/>
      <c r="K1018" s="11"/>
      <c r="L1018" s="15"/>
      <c r="M1018" s="15"/>
      <c r="N1018" s="15"/>
      <c r="O1018" s="15"/>
      <c r="P1018" s="15"/>
      <c r="Q1018" s="11"/>
      <c r="R1018" s="11"/>
      <c r="S1018" s="11"/>
      <c r="T1018" s="11"/>
      <c r="U1018" s="15"/>
      <c r="V1018" s="11"/>
      <c r="W1018" s="11"/>
      <c r="X1018" s="11"/>
      <c r="Y1018" s="11"/>
      <c r="Z1018" s="11"/>
    </row>
    <row r="1019">
      <c r="A1019" s="18"/>
      <c r="B1019" s="11"/>
      <c r="C1019" s="11"/>
      <c r="D1019" s="11"/>
      <c r="E1019" s="11"/>
      <c r="F1019" s="11"/>
      <c r="G1019" s="11"/>
      <c r="H1019" s="11"/>
      <c r="I1019" s="11"/>
      <c r="J1019" s="11"/>
      <c r="K1019" s="11"/>
      <c r="L1019" s="15"/>
      <c r="M1019" s="15"/>
      <c r="N1019" s="15"/>
      <c r="O1019" s="15"/>
      <c r="P1019" s="15"/>
      <c r="Q1019" s="11"/>
      <c r="R1019" s="11"/>
      <c r="S1019" s="11"/>
      <c r="T1019" s="11"/>
      <c r="U1019" s="15"/>
      <c r="V1019" s="11"/>
      <c r="W1019" s="11"/>
      <c r="X1019" s="11"/>
      <c r="Y1019" s="11"/>
      <c r="Z1019" s="11"/>
    </row>
    <row r="1020">
      <c r="A1020" s="18"/>
      <c r="B1020" s="11"/>
      <c r="C1020" s="11"/>
      <c r="D1020" s="11"/>
      <c r="E1020" s="11"/>
      <c r="F1020" s="11"/>
      <c r="G1020" s="11"/>
      <c r="H1020" s="11"/>
      <c r="I1020" s="11"/>
      <c r="J1020" s="11"/>
      <c r="K1020" s="11"/>
      <c r="L1020" s="15"/>
      <c r="M1020" s="15"/>
      <c r="N1020" s="15"/>
      <c r="O1020" s="15"/>
      <c r="P1020" s="15"/>
      <c r="Q1020" s="11"/>
      <c r="R1020" s="11"/>
      <c r="S1020" s="11"/>
      <c r="T1020" s="11"/>
      <c r="U1020" s="15"/>
      <c r="V1020" s="11"/>
      <c r="W1020" s="11"/>
      <c r="X1020" s="11"/>
      <c r="Y1020" s="11"/>
      <c r="Z1020" s="11"/>
    </row>
    <row r="1021">
      <c r="A1021" s="18"/>
      <c r="B1021" s="11"/>
      <c r="C1021" s="11"/>
      <c r="D1021" s="11"/>
      <c r="E1021" s="11"/>
      <c r="F1021" s="11"/>
      <c r="G1021" s="11"/>
      <c r="H1021" s="11"/>
      <c r="I1021" s="11"/>
      <c r="J1021" s="11"/>
      <c r="K1021" s="11"/>
      <c r="L1021" s="15"/>
      <c r="M1021" s="15"/>
      <c r="N1021" s="15"/>
      <c r="O1021" s="15"/>
      <c r="P1021" s="15"/>
      <c r="Q1021" s="11"/>
      <c r="R1021" s="11"/>
      <c r="S1021" s="11"/>
      <c r="T1021" s="11"/>
      <c r="U1021" s="15"/>
      <c r="V1021" s="11"/>
      <c r="W1021" s="11"/>
      <c r="X1021" s="11"/>
      <c r="Y1021" s="11"/>
      <c r="Z1021" s="11"/>
    </row>
    <row r="1022">
      <c r="A1022" s="18"/>
      <c r="B1022" s="11"/>
      <c r="C1022" s="11"/>
      <c r="D1022" s="11"/>
      <c r="E1022" s="11"/>
      <c r="F1022" s="11"/>
      <c r="G1022" s="11"/>
      <c r="H1022" s="11"/>
      <c r="I1022" s="11"/>
      <c r="J1022" s="11"/>
      <c r="K1022" s="11"/>
      <c r="L1022" s="15"/>
      <c r="M1022" s="15"/>
      <c r="N1022" s="15"/>
      <c r="O1022" s="15"/>
      <c r="P1022" s="15"/>
      <c r="Q1022" s="11"/>
      <c r="R1022" s="11"/>
      <c r="S1022" s="11"/>
      <c r="T1022" s="11"/>
      <c r="U1022" s="15"/>
      <c r="V1022" s="11"/>
      <c r="W1022" s="11"/>
      <c r="X1022" s="11"/>
      <c r="Y1022" s="11"/>
      <c r="Z1022" s="11"/>
    </row>
    <row r="1023">
      <c r="A1023" s="18"/>
      <c r="B1023" s="11"/>
      <c r="C1023" s="11"/>
      <c r="D1023" s="11"/>
      <c r="E1023" s="11"/>
      <c r="F1023" s="11"/>
      <c r="G1023" s="11"/>
      <c r="H1023" s="11"/>
      <c r="I1023" s="11"/>
      <c r="J1023" s="11"/>
      <c r="K1023" s="11"/>
      <c r="L1023" s="15"/>
      <c r="M1023" s="15"/>
      <c r="N1023" s="15"/>
      <c r="O1023" s="15"/>
      <c r="P1023" s="15"/>
      <c r="Q1023" s="11"/>
      <c r="R1023" s="11"/>
      <c r="S1023" s="11"/>
      <c r="T1023" s="11"/>
      <c r="U1023" s="15"/>
      <c r="V1023" s="11"/>
      <c r="W1023" s="11"/>
      <c r="X1023" s="11"/>
      <c r="Y1023" s="11"/>
      <c r="Z1023" s="11"/>
    </row>
    <row r="1024">
      <c r="A1024" s="18"/>
      <c r="B1024" s="11"/>
      <c r="C1024" s="11"/>
      <c r="D1024" s="11"/>
      <c r="E1024" s="11"/>
      <c r="F1024" s="11"/>
      <c r="G1024" s="11"/>
      <c r="H1024" s="11"/>
      <c r="I1024" s="11"/>
      <c r="J1024" s="11"/>
      <c r="K1024" s="11"/>
      <c r="L1024" s="15"/>
      <c r="M1024" s="15"/>
      <c r="N1024" s="15"/>
      <c r="O1024" s="15"/>
      <c r="P1024" s="15"/>
      <c r="Q1024" s="11"/>
      <c r="R1024" s="11"/>
      <c r="S1024" s="11"/>
      <c r="T1024" s="11"/>
      <c r="U1024" s="15"/>
      <c r="V1024" s="11"/>
      <c r="W1024" s="11"/>
      <c r="X1024" s="11"/>
      <c r="Y1024" s="11"/>
      <c r="Z1024" s="11"/>
    </row>
    <row r="1025">
      <c r="A1025" s="18"/>
      <c r="B1025" s="11"/>
      <c r="C1025" s="11"/>
      <c r="D1025" s="11"/>
      <c r="E1025" s="11"/>
      <c r="F1025" s="11"/>
      <c r="G1025" s="11"/>
      <c r="H1025" s="11"/>
      <c r="I1025" s="11"/>
      <c r="J1025" s="11"/>
      <c r="K1025" s="11"/>
      <c r="L1025" s="15"/>
      <c r="M1025" s="15"/>
      <c r="N1025" s="15"/>
      <c r="O1025" s="15"/>
      <c r="P1025" s="15"/>
      <c r="Q1025" s="11"/>
      <c r="R1025" s="11"/>
      <c r="S1025" s="11"/>
      <c r="T1025" s="11"/>
      <c r="U1025" s="15"/>
      <c r="V1025" s="11"/>
      <c r="W1025" s="11"/>
      <c r="X1025" s="11"/>
      <c r="Y1025" s="11"/>
      <c r="Z1025" s="11"/>
    </row>
    <row r="1026">
      <c r="A1026" s="18"/>
      <c r="B1026" s="11"/>
      <c r="C1026" s="11"/>
      <c r="D1026" s="11"/>
      <c r="E1026" s="11"/>
      <c r="F1026" s="11"/>
      <c r="G1026" s="11"/>
      <c r="H1026" s="11"/>
      <c r="I1026" s="11"/>
      <c r="J1026" s="11"/>
      <c r="K1026" s="11"/>
      <c r="L1026" s="15"/>
      <c r="M1026" s="15"/>
      <c r="N1026" s="15"/>
      <c r="O1026" s="15"/>
      <c r="P1026" s="15"/>
      <c r="Q1026" s="11"/>
      <c r="R1026" s="11"/>
      <c r="S1026" s="11"/>
      <c r="T1026" s="11"/>
      <c r="U1026" s="15"/>
      <c r="V1026" s="11"/>
      <c r="W1026" s="11"/>
      <c r="X1026" s="11"/>
      <c r="Y1026" s="11"/>
      <c r="Z1026" s="11"/>
    </row>
    <row r="1027">
      <c r="A1027" s="18"/>
      <c r="B1027" s="11"/>
      <c r="C1027" s="11"/>
      <c r="D1027" s="11"/>
      <c r="E1027" s="11"/>
      <c r="F1027" s="11"/>
      <c r="G1027" s="11"/>
      <c r="H1027" s="11"/>
      <c r="I1027" s="11"/>
      <c r="J1027" s="11"/>
      <c r="K1027" s="11"/>
      <c r="L1027" s="15"/>
      <c r="M1027" s="15"/>
      <c r="N1027" s="15"/>
      <c r="O1027" s="15"/>
      <c r="P1027" s="15"/>
      <c r="Q1027" s="11"/>
      <c r="R1027" s="11"/>
      <c r="S1027" s="11"/>
      <c r="T1027" s="11"/>
      <c r="U1027" s="15"/>
      <c r="V1027" s="11"/>
      <c r="W1027" s="11"/>
      <c r="X1027" s="11"/>
      <c r="Y1027" s="11"/>
      <c r="Z1027" s="11"/>
    </row>
    <row r="1028">
      <c r="A1028" s="18"/>
      <c r="B1028" s="11"/>
      <c r="C1028" s="11"/>
      <c r="D1028" s="11"/>
      <c r="E1028" s="11"/>
      <c r="F1028" s="11"/>
      <c r="G1028" s="11"/>
      <c r="H1028" s="11"/>
      <c r="I1028" s="11"/>
      <c r="J1028" s="11"/>
      <c r="K1028" s="11"/>
      <c r="L1028" s="15"/>
      <c r="M1028" s="15"/>
      <c r="N1028" s="15"/>
      <c r="O1028" s="15"/>
      <c r="P1028" s="15"/>
      <c r="Q1028" s="11"/>
      <c r="R1028" s="11"/>
      <c r="S1028" s="11"/>
      <c r="T1028" s="11"/>
      <c r="U1028" s="15"/>
      <c r="V1028" s="11"/>
      <c r="W1028" s="11"/>
      <c r="X1028" s="11"/>
      <c r="Y1028" s="11"/>
      <c r="Z1028" s="11"/>
    </row>
    <row r="1029">
      <c r="A1029" s="18"/>
      <c r="B1029" s="11"/>
      <c r="C1029" s="11"/>
      <c r="D1029" s="11"/>
      <c r="E1029" s="11"/>
      <c r="F1029" s="11"/>
      <c r="G1029" s="11"/>
      <c r="H1029" s="11"/>
      <c r="I1029" s="11"/>
      <c r="J1029" s="11"/>
      <c r="K1029" s="11"/>
      <c r="L1029" s="15"/>
      <c r="M1029" s="15"/>
      <c r="N1029" s="15"/>
      <c r="O1029" s="15"/>
      <c r="P1029" s="15"/>
      <c r="Q1029" s="11"/>
      <c r="R1029" s="11"/>
      <c r="S1029" s="11"/>
      <c r="T1029" s="11"/>
      <c r="U1029" s="15"/>
      <c r="V1029" s="11"/>
      <c r="W1029" s="11"/>
      <c r="X1029" s="11"/>
      <c r="Y1029" s="11"/>
      <c r="Z1029" s="11"/>
    </row>
    <row r="1030">
      <c r="A1030" s="18"/>
      <c r="B1030" s="11"/>
      <c r="C1030" s="11"/>
      <c r="D1030" s="11"/>
      <c r="E1030" s="11"/>
      <c r="F1030" s="11"/>
      <c r="G1030" s="11"/>
      <c r="H1030" s="11"/>
      <c r="I1030" s="11"/>
      <c r="J1030" s="11"/>
      <c r="K1030" s="11"/>
      <c r="L1030" s="15"/>
      <c r="M1030" s="15"/>
      <c r="N1030" s="15"/>
      <c r="O1030" s="15"/>
      <c r="P1030" s="15"/>
      <c r="Q1030" s="11"/>
      <c r="R1030" s="11"/>
      <c r="S1030" s="11"/>
      <c r="T1030" s="11"/>
      <c r="U1030" s="15"/>
      <c r="V1030" s="11"/>
      <c r="W1030" s="11"/>
      <c r="X1030" s="11"/>
      <c r="Y1030" s="11"/>
      <c r="Z1030" s="11"/>
    </row>
    <row r="1031">
      <c r="A1031" s="18"/>
      <c r="B1031" s="11"/>
      <c r="C1031" s="11"/>
      <c r="D1031" s="11"/>
      <c r="E1031" s="11"/>
      <c r="F1031" s="11"/>
      <c r="G1031" s="11"/>
      <c r="H1031" s="11"/>
      <c r="I1031" s="11"/>
      <c r="J1031" s="11"/>
      <c r="K1031" s="11"/>
      <c r="L1031" s="15"/>
      <c r="M1031" s="15"/>
      <c r="N1031" s="15"/>
      <c r="O1031" s="15"/>
      <c r="P1031" s="15"/>
      <c r="Q1031" s="11"/>
      <c r="R1031" s="11"/>
      <c r="S1031" s="11"/>
      <c r="T1031" s="11"/>
      <c r="U1031" s="15"/>
      <c r="V1031" s="11"/>
      <c r="W1031" s="11"/>
      <c r="X1031" s="11"/>
      <c r="Y1031" s="11"/>
      <c r="Z1031" s="11"/>
    </row>
    <row r="1032">
      <c r="A1032" s="18"/>
      <c r="B1032" s="11"/>
      <c r="C1032" s="11"/>
      <c r="D1032" s="11"/>
      <c r="E1032" s="11"/>
      <c r="F1032" s="11"/>
      <c r="G1032" s="11"/>
      <c r="H1032" s="11"/>
      <c r="I1032" s="11"/>
      <c r="J1032" s="11"/>
      <c r="K1032" s="11"/>
      <c r="L1032" s="15"/>
      <c r="M1032" s="15"/>
      <c r="N1032" s="15"/>
      <c r="O1032" s="15"/>
      <c r="P1032" s="15"/>
      <c r="Q1032" s="11"/>
      <c r="R1032" s="11"/>
      <c r="S1032" s="11"/>
      <c r="T1032" s="11"/>
      <c r="U1032" s="15"/>
      <c r="V1032" s="11"/>
      <c r="W1032" s="11"/>
      <c r="X1032" s="11"/>
      <c r="Y1032" s="11"/>
      <c r="Z1032" s="11"/>
    </row>
    <row r="1033">
      <c r="A1033" s="18"/>
      <c r="B1033" s="11"/>
      <c r="C1033" s="11"/>
      <c r="D1033" s="11"/>
      <c r="E1033" s="11"/>
      <c r="F1033" s="11"/>
      <c r="G1033" s="11"/>
      <c r="H1033" s="11"/>
      <c r="I1033" s="11"/>
      <c r="J1033" s="11"/>
      <c r="K1033" s="11"/>
      <c r="L1033" s="15"/>
      <c r="M1033" s="15"/>
      <c r="N1033" s="15"/>
      <c r="O1033" s="15"/>
      <c r="P1033" s="15"/>
      <c r="Q1033" s="11"/>
      <c r="R1033" s="11"/>
      <c r="S1033" s="11"/>
      <c r="T1033" s="11"/>
      <c r="U1033" s="15"/>
      <c r="V1033" s="11"/>
      <c r="W1033" s="11"/>
      <c r="X1033" s="11"/>
      <c r="Y1033" s="11"/>
      <c r="Z1033" s="11"/>
    </row>
    <row r="1034">
      <c r="A1034" s="18"/>
      <c r="B1034" s="11"/>
      <c r="C1034" s="11"/>
      <c r="D1034" s="11"/>
      <c r="E1034" s="11"/>
      <c r="F1034" s="11"/>
      <c r="G1034" s="11"/>
      <c r="H1034" s="11"/>
      <c r="I1034" s="11"/>
      <c r="J1034" s="11"/>
      <c r="K1034" s="11"/>
      <c r="L1034" s="15"/>
      <c r="M1034" s="15"/>
      <c r="N1034" s="15"/>
      <c r="O1034" s="15"/>
      <c r="P1034" s="15"/>
      <c r="Q1034" s="11"/>
      <c r="R1034" s="11"/>
      <c r="S1034" s="11"/>
      <c r="T1034" s="11"/>
      <c r="U1034" s="15"/>
      <c r="V1034" s="11"/>
      <c r="W1034" s="11"/>
      <c r="X1034" s="11"/>
      <c r="Y1034" s="11"/>
      <c r="Z1034" s="11"/>
    </row>
    <row r="1035">
      <c r="A1035" s="18"/>
      <c r="B1035" s="11"/>
      <c r="C1035" s="11"/>
      <c r="D1035" s="11"/>
      <c r="E1035" s="11"/>
      <c r="F1035" s="11"/>
      <c r="G1035" s="11"/>
      <c r="H1035" s="11"/>
      <c r="I1035" s="11"/>
      <c r="J1035" s="11"/>
      <c r="K1035" s="11"/>
      <c r="L1035" s="15"/>
      <c r="M1035" s="15"/>
      <c r="N1035" s="15"/>
      <c r="O1035" s="15"/>
      <c r="P1035" s="15"/>
      <c r="Q1035" s="11"/>
      <c r="R1035" s="11"/>
      <c r="S1035" s="11"/>
      <c r="T1035" s="11"/>
      <c r="U1035" s="15"/>
      <c r="V1035" s="11"/>
      <c r="W1035" s="11"/>
      <c r="X1035" s="11"/>
      <c r="Y1035" s="11"/>
      <c r="Z1035" s="11"/>
    </row>
    <row r="1036">
      <c r="A1036" s="18"/>
      <c r="B1036" s="11"/>
      <c r="C1036" s="11"/>
      <c r="D1036" s="11"/>
      <c r="E1036" s="11"/>
      <c r="F1036" s="11"/>
      <c r="G1036" s="11"/>
      <c r="H1036" s="11"/>
      <c r="I1036" s="11"/>
      <c r="J1036" s="11"/>
      <c r="K1036" s="11"/>
      <c r="L1036" s="15"/>
      <c r="M1036" s="15"/>
      <c r="N1036" s="15"/>
      <c r="O1036" s="15"/>
      <c r="P1036" s="15"/>
      <c r="Q1036" s="11"/>
      <c r="R1036" s="11"/>
      <c r="S1036" s="11"/>
      <c r="T1036" s="11"/>
      <c r="U1036" s="15"/>
      <c r="V1036" s="11"/>
      <c r="W1036" s="11"/>
      <c r="X1036" s="11"/>
      <c r="Y1036" s="11"/>
      <c r="Z1036" s="11"/>
    </row>
    <row r="1037">
      <c r="A1037" s="18"/>
      <c r="B1037" s="11"/>
      <c r="C1037" s="11"/>
      <c r="D1037" s="11"/>
      <c r="E1037" s="11"/>
      <c r="F1037" s="11"/>
      <c r="G1037" s="11"/>
      <c r="H1037" s="11"/>
      <c r="I1037" s="11"/>
      <c r="J1037" s="11"/>
      <c r="K1037" s="11"/>
      <c r="L1037" s="15"/>
      <c r="M1037" s="15"/>
      <c r="N1037" s="15"/>
      <c r="O1037" s="15"/>
      <c r="P1037" s="15"/>
      <c r="Q1037" s="11"/>
      <c r="R1037" s="11"/>
      <c r="S1037" s="11"/>
      <c r="T1037" s="11"/>
      <c r="U1037" s="15"/>
      <c r="V1037" s="11"/>
      <c r="W1037" s="11"/>
      <c r="X1037" s="11"/>
      <c r="Y1037" s="11"/>
      <c r="Z1037" s="11"/>
    </row>
    <row r="1038">
      <c r="A1038" s="18"/>
      <c r="B1038" s="11"/>
      <c r="C1038" s="11"/>
      <c r="D1038" s="11"/>
      <c r="E1038" s="11"/>
      <c r="F1038" s="11"/>
      <c r="G1038" s="11"/>
      <c r="H1038" s="11"/>
      <c r="I1038" s="11"/>
      <c r="J1038" s="11"/>
      <c r="K1038" s="11"/>
      <c r="L1038" s="15"/>
      <c r="M1038" s="15"/>
      <c r="N1038" s="15"/>
      <c r="O1038" s="15"/>
      <c r="P1038" s="15"/>
      <c r="Q1038" s="11"/>
      <c r="R1038" s="11"/>
      <c r="S1038" s="11"/>
      <c r="T1038" s="11"/>
      <c r="U1038" s="15"/>
      <c r="V1038" s="11"/>
      <c r="W1038" s="11"/>
      <c r="X1038" s="11"/>
      <c r="Y1038" s="11"/>
      <c r="Z1038" s="11"/>
    </row>
    <row r="1039">
      <c r="A1039" s="18"/>
      <c r="B1039" s="11"/>
      <c r="C1039" s="11"/>
      <c r="D1039" s="11"/>
      <c r="E1039" s="11"/>
      <c r="F1039" s="11"/>
      <c r="G1039" s="11"/>
      <c r="H1039" s="11"/>
      <c r="I1039" s="11"/>
      <c r="J1039" s="11"/>
      <c r="K1039" s="11"/>
      <c r="L1039" s="15"/>
      <c r="M1039" s="15"/>
      <c r="N1039" s="15"/>
      <c r="O1039" s="15"/>
      <c r="P1039" s="15"/>
      <c r="Q1039" s="11"/>
      <c r="R1039" s="11"/>
      <c r="S1039" s="11"/>
      <c r="T1039" s="11"/>
      <c r="U1039" s="15"/>
      <c r="V1039" s="11"/>
      <c r="W1039" s="11"/>
      <c r="X1039" s="11"/>
      <c r="Y1039" s="11"/>
      <c r="Z1039" s="11"/>
    </row>
    <row r="1040">
      <c r="A1040" s="18"/>
      <c r="B1040" s="11"/>
      <c r="C1040" s="11"/>
      <c r="D1040" s="11"/>
      <c r="E1040" s="11"/>
      <c r="F1040" s="11"/>
      <c r="G1040" s="11"/>
      <c r="H1040" s="11"/>
      <c r="I1040" s="11"/>
      <c r="J1040" s="11"/>
      <c r="K1040" s="11"/>
      <c r="L1040" s="15"/>
      <c r="M1040" s="15"/>
      <c r="N1040" s="15"/>
      <c r="O1040" s="15"/>
      <c r="P1040" s="15"/>
      <c r="Q1040" s="11"/>
      <c r="R1040" s="11"/>
      <c r="S1040" s="11"/>
      <c r="T1040" s="11"/>
      <c r="U1040" s="15"/>
      <c r="V1040" s="11"/>
      <c r="W1040" s="11"/>
      <c r="X1040" s="11"/>
      <c r="Y1040" s="11"/>
      <c r="Z1040" s="11"/>
    </row>
    <row r="1041">
      <c r="A1041" s="18"/>
      <c r="B1041" s="11"/>
      <c r="C1041" s="11"/>
      <c r="D1041" s="11"/>
      <c r="E1041" s="11"/>
      <c r="F1041" s="11"/>
      <c r="G1041" s="11"/>
      <c r="H1041" s="11"/>
      <c r="I1041" s="11"/>
      <c r="J1041" s="11"/>
      <c r="K1041" s="11"/>
      <c r="L1041" s="15"/>
      <c r="M1041" s="15"/>
      <c r="N1041" s="15"/>
      <c r="O1041" s="15"/>
      <c r="P1041" s="15"/>
      <c r="Q1041" s="11"/>
      <c r="R1041" s="11"/>
      <c r="S1041" s="11"/>
      <c r="T1041" s="11"/>
      <c r="U1041" s="15"/>
      <c r="V1041" s="11"/>
      <c r="W1041" s="11"/>
      <c r="X1041" s="11"/>
      <c r="Y1041" s="11"/>
      <c r="Z1041" s="11"/>
    </row>
    <row r="1042">
      <c r="A1042" s="18"/>
      <c r="B1042" s="11"/>
      <c r="C1042" s="11"/>
      <c r="D1042" s="11"/>
      <c r="E1042" s="11"/>
      <c r="F1042" s="11"/>
      <c r="G1042" s="11"/>
      <c r="H1042" s="11"/>
      <c r="I1042" s="11"/>
      <c r="J1042" s="11"/>
      <c r="K1042" s="11"/>
      <c r="L1042" s="15"/>
      <c r="M1042" s="15"/>
      <c r="N1042" s="15"/>
      <c r="O1042" s="15"/>
      <c r="P1042" s="15"/>
      <c r="Q1042" s="11"/>
      <c r="R1042" s="11"/>
      <c r="S1042" s="11"/>
      <c r="T1042" s="11"/>
      <c r="U1042" s="15"/>
      <c r="V1042" s="11"/>
      <c r="W1042" s="11"/>
      <c r="X1042" s="11"/>
      <c r="Y1042" s="11"/>
      <c r="Z1042" s="11"/>
    </row>
    <row r="1043">
      <c r="A1043" s="18"/>
      <c r="B1043" s="11"/>
      <c r="C1043" s="11"/>
      <c r="D1043" s="11"/>
      <c r="E1043" s="11"/>
      <c r="F1043" s="11"/>
      <c r="G1043" s="11"/>
      <c r="H1043" s="11"/>
      <c r="I1043" s="11"/>
      <c r="J1043" s="11"/>
      <c r="K1043" s="11"/>
      <c r="L1043" s="15"/>
      <c r="M1043" s="15"/>
      <c r="N1043" s="15"/>
      <c r="O1043" s="15"/>
      <c r="P1043" s="15"/>
      <c r="Q1043" s="11"/>
      <c r="R1043" s="11"/>
      <c r="S1043" s="11"/>
      <c r="T1043" s="11"/>
      <c r="U1043" s="15"/>
      <c r="V1043" s="11"/>
      <c r="W1043" s="11"/>
      <c r="X1043" s="11"/>
      <c r="Y1043" s="11"/>
      <c r="Z1043" s="11"/>
    </row>
    <row r="1044">
      <c r="A1044" s="18"/>
      <c r="B1044" s="11"/>
      <c r="C1044" s="11"/>
      <c r="D1044" s="11"/>
      <c r="E1044" s="11"/>
      <c r="F1044" s="11"/>
      <c r="G1044" s="11"/>
      <c r="H1044" s="11"/>
      <c r="I1044" s="11"/>
      <c r="J1044" s="11"/>
      <c r="K1044" s="11"/>
      <c r="L1044" s="15"/>
      <c r="M1044" s="15"/>
      <c r="N1044" s="15"/>
      <c r="O1044" s="15"/>
      <c r="P1044" s="15"/>
      <c r="Q1044" s="11"/>
      <c r="R1044" s="11"/>
      <c r="S1044" s="11"/>
      <c r="T1044" s="11"/>
      <c r="U1044" s="15"/>
      <c r="V1044" s="11"/>
      <c r="W1044" s="11"/>
      <c r="X1044" s="11"/>
      <c r="Y1044" s="11"/>
      <c r="Z1044" s="11"/>
    </row>
    <row r="1045">
      <c r="A1045" s="18"/>
      <c r="B1045" s="11"/>
      <c r="C1045" s="11"/>
      <c r="D1045" s="11"/>
      <c r="E1045" s="11"/>
      <c r="F1045" s="11"/>
      <c r="G1045" s="11"/>
      <c r="H1045" s="11"/>
      <c r="I1045" s="11"/>
      <c r="J1045" s="11"/>
      <c r="K1045" s="11"/>
      <c r="L1045" s="15"/>
      <c r="M1045" s="15"/>
      <c r="N1045" s="15"/>
      <c r="O1045" s="15"/>
      <c r="P1045" s="15"/>
      <c r="Q1045" s="11"/>
      <c r="R1045" s="11"/>
      <c r="S1045" s="11"/>
      <c r="T1045" s="11"/>
      <c r="U1045" s="15"/>
      <c r="V1045" s="11"/>
      <c r="W1045" s="11"/>
      <c r="X1045" s="11"/>
      <c r="Y1045" s="11"/>
      <c r="Z1045" s="11"/>
    </row>
    <row r="1046">
      <c r="A1046" s="18"/>
      <c r="B1046" s="11"/>
      <c r="C1046" s="11"/>
      <c r="D1046" s="11"/>
      <c r="E1046" s="11"/>
      <c r="F1046" s="11"/>
      <c r="G1046" s="11"/>
      <c r="H1046" s="11"/>
      <c r="I1046" s="11"/>
      <c r="J1046" s="11"/>
      <c r="K1046" s="11"/>
      <c r="L1046" s="15"/>
      <c r="M1046" s="15"/>
      <c r="N1046" s="15"/>
      <c r="O1046" s="15"/>
      <c r="P1046" s="15"/>
      <c r="Q1046" s="11"/>
      <c r="R1046" s="11"/>
      <c r="S1046" s="11"/>
      <c r="T1046" s="11"/>
      <c r="U1046" s="15"/>
      <c r="V1046" s="11"/>
      <c r="W1046" s="11"/>
      <c r="X1046" s="11"/>
      <c r="Y1046" s="11"/>
      <c r="Z1046" s="11"/>
    </row>
    <row r="1047">
      <c r="A1047" s="18"/>
      <c r="B1047" s="11"/>
      <c r="C1047" s="11"/>
      <c r="D1047" s="11"/>
      <c r="E1047" s="11"/>
      <c r="F1047" s="11"/>
      <c r="G1047" s="11"/>
      <c r="H1047" s="11"/>
      <c r="I1047" s="11"/>
      <c r="J1047" s="11"/>
      <c r="K1047" s="11"/>
      <c r="L1047" s="15"/>
      <c r="M1047" s="15"/>
      <c r="N1047" s="15"/>
      <c r="O1047" s="15"/>
      <c r="P1047" s="15"/>
      <c r="Q1047" s="11"/>
      <c r="R1047" s="11"/>
      <c r="S1047" s="11"/>
      <c r="T1047" s="11"/>
      <c r="U1047" s="15"/>
      <c r="V1047" s="11"/>
      <c r="W1047" s="11"/>
      <c r="X1047" s="11"/>
      <c r="Y1047" s="11"/>
      <c r="Z1047" s="11"/>
    </row>
    <row r="1048">
      <c r="A1048" s="18"/>
      <c r="B1048" s="11"/>
      <c r="C1048" s="11"/>
      <c r="D1048" s="11"/>
      <c r="E1048" s="11"/>
      <c r="F1048" s="11"/>
      <c r="G1048" s="11"/>
      <c r="H1048" s="11"/>
      <c r="I1048" s="11"/>
      <c r="J1048" s="11"/>
      <c r="K1048" s="11"/>
      <c r="L1048" s="15"/>
      <c r="M1048" s="15"/>
      <c r="N1048" s="15"/>
      <c r="O1048" s="15"/>
      <c r="P1048" s="15"/>
      <c r="Q1048" s="11"/>
      <c r="R1048" s="11"/>
      <c r="S1048" s="11"/>
      <c r="T1048" s="11"/>
      <c r="U1048" s="15"/>
      <c r="V1048" s="11"/>
      <c r="W1048" s="11"/>
      <c r="X1048" s="11"/>
      <c r="Y1048" s="11"/>
      <c r="Z1048" s="11"/>
    </row>
    <row r="1049">
      <c r="A1049" s="18"/>
      <c r="B1049" s="11"/>
      <c r="C1049" s="11"/>
      <c r="D1049" s="11"/>
      <c r="E1049" s="11"/>
      <c r="F1049" s="11"/>
      <c r="G1049" s="11"/>
      <c r="H1049" s="11"/>
      <c r="I1049" s="11"/>
      <c r="J1049" s="11"/>
      <c r="K1049" s="11"/>
      <c r="L1049" s="15"/>
      <c r="M1049" s="15"/>
      <c r="N1049" s="15"/>
      <c r="O1049" s="15"/>
      <c r="P1049" s="15"/>
      <c r="Q1049" s="11"/>
      <c r="R1049" s="11"/>
      <c r="S1049" s="11"/>
      <c r="T1049" s="11"/>
      <c r="U1049" s="15"/>
      <c r="V1049" s="11"/>
      <c r="W1049" s="11"/>
      <c r="X1049" s="11"/>
      <c r="Y1049" s="11"/>
      <c r="Z1049" s="11"/>
    </row>
    <row r="1050">
      <c r="A1050" s="18"/>
      <c r="B1050" s="11"/>
      <c r="C1050" s="11"/>
      <c r="D1050" s="11"/>
      <c r="E1050" s="11"/>
      <c r="F1050" s="11"/>
      <c r="G1050" s="11"/>
      <c r="H1050" s="11"/>
      <c r="I1050" s="11"/>
      <c r="J1050" s="11"/>
      <c r="K1050" s="11"/>
      <c r="L1050" s="15"/>
      <c r="M1050" s="15"/>
      <c r="N1050" s="15"/>
      <c r="O1050" s="15"/>
      <c r="P1050" s="15"/>
      <c r="Q1050" s="11"/>
      <c r="R1050" s="11"/>
      <c r="S1050" s="11"/>
      <c r="T1050" s="11"/>
      <c r="U1050" s="15"/>
      <c r="V1050" s="11"/>
      <c r="W1050" s="11"/>
      <c r="X1050" s="11"/>
      <c r="Y1050" s="11"/>
      <c r="Z1050" s="11"/>
    </row>
    <row r="1051">
      <c r="A1051" s="18"/>
      <c r="B1051" s="11"/>
      <c r="C1051" s="11"/>
      <c r="D1051" s="11"/>
      <c r="E1051" s="11"/>
      <c r="F1051" s="11"/>
      <c r="G1051" s="11"/>
      <c r="H1051" s="11"/>
      <c r="I1051" s="11"/>
      <c r="J1051" s="11"/>
      <c r="K1051" s="11"/>
      <c r="L1051" s="15"/>
      <c r="M1051" s="15"/>
      <c r="N1051" s="15"/>
      <c r="O1051" s="15"/>
      <c r="P1051" s="15"/>
      <c r="Q1051" s="11"/>
      <c r="R1051" s="11"/>
      <c r="S1051" s="11"/>
      <c r="T1051" s="11"/>
      <c r="U1051" s="15"/>
      <c r="V1051" s="11"/>
      <c r="W1051" s="11"/>
      <c r="X1051" s="11"/>
      <c r="Y1051" s="11"/>
      <c r="Z1051" s="11"/>
    </row>
    <row r="1052">
      <c r="A1052" s="18"/>
      <c r="B1052" s="11"/>
      <c r="C1052" s="11"/>
      <c r="D1052" s="11"/>
      <c r="E1052" s="11"/>
      <c r="F1052" s="11"/>
      <c r="G1052" s="11"/>
      <c r="H1052" s="11"/>
      <c r="I1052" s="11"/>
      <c r="J1052" s="11"/>
      <c r="K1052" s="11"/>
      <c r="L1052" s="15"/>
      <c r="M1052" s="15"/>
      <c r="N1052" s="15"/>
      <c r="O1052" s="15"/>
      <c r="P1052" s="15"/>
      <c r="Q1052" s="11"/>
      <c r="R1052" s="11"/>
      <c r="S1052" s="11"/>
      <c r="T1052" s="11"/>
      <c r="U1052" s="15"/>
      <c r="V1052" s="11"/>
      <c r="W1052" s="11"/>
      <c r="X1052" s="11"/>
      <c r="Y1052" s="11"/>
      <c r="Z1052" s="11"/>
    </row>
    <row r="1053">
      <c r="A1053" s="18"/>
      <c r="B1053" s="11"/>
      <c r="C1053" s="11"/>
      <c r="D1053" s="11"/>
      <c r="E1053" s="11"/>
      <c r="F1053" s="11"/>
      <c r="G1053" s="11"/>
      <c r="H1053" s="11"/>
      <c r="I1053" s="11"/>
      <c r="J1053" s="11"/>
      <c r="K1053" s="11"/>
      <c r="L1053" s="15"/>
      <c r="M1053" s="15"/>
      <c r="N1053" s="15"/>
      <c r="O1053" s="15"/>
      <c r="P1053" s="15"/>
      <c r="Q1053" s="11"/>
      <c r="R1053" s="11"/>
      <c r="S1053" s="11"/>
      <c r="T1053" s="11"/>
      <c r="U1053" s="15"/>
      <c r="V1053" s="11"/>
      <c r="W1053" s="11"/>
      <c r="X1053" s="11"/>
      <c r="Y1053" s="11"/>
      <c r="Z1053" s="11"/>
    </row>
    <row r="1054">
      <c r="A1054" s="18"/>
      <c r="B1054" s="11"/>
      <c r="C1054" s="11"/>
      <c r="D1054" s="11"/>
      <c r="E1054" s="11"/>
      <c r="F1054" s="11"/>
      <c r="G1054" s="11"/>
      <c r="H1054" s="11"/>
      <c r="I1054" s="11"/>
      <c r="J1054" s="11"/>
      <c r="K1054" s="11"/>
      <c r="L1054" s="15"/>
      <c r="M1054" s="15"/>
      <c r="N1054" s="15"/>
      <c r="O1054" s="15"/>
      <c r="P1054" s="15"/>
      <c r="Q1054" s="11"/>
      <c r="R1054" s="11"/>
      <c r="S1054" s="11"/>
      <c r="T1054" s="11"/>
      <c r="U1054" s="15"/>
      <c r="V1054" s="11"/>
      <c r="W1054" s="11"/>
      <c r="X1054" s="11"/>
      <c r="Y1054" s="11"/>
      <c r="Z1054" s="11"/>
    </row>
    <row r="1055">
      <c r="A1055" s="18"/>
      <c r="B1055" s="11"/>
      <c r="C1055" s="11"/>
      <c r="D1055" s="11"/>
      <c r="E1055" s="11"/>
      <c r="F1055" s="11"/>
      <c r="G1055" s="11"/>
      <c r="H1055" s="11"/>
      <c r="I1055" s="11"/>
      <c r="J1055" s="11"/>
      <c r="K1055" s="11"/>
      <c r="L1055" s="15"/>
      <c r="M1055" s="15"/>
      <c r="N1055" s="15"/>
      <c r="O1055" s="15"/>
      <c r="P1055" s="15"/>
      <c r="Q1055" s="11"/>
      <c r="R1055" s="11"/>
      <c r="S1055" s="11"/>
      <c r="T1055" s="11"/>
      <c r="U1055" s="15"/>
      <c r="V1055" s="11"/>
      <c r="W1055" s="11"/>
      <c r="X1055" s="11"/>
      <c r="Y1055" s="11"/>
      <c r="Z1055" s="11"/>
    </row>
    <row r="1056">
      <c r="A1056" s="18"/>
      <c r="B1056" s="11"/>
      <c r="C1056" s="11"/>
      <c r="D1056" s="11"/>
      <c r="E1056" s="11"/>
      <c r="F1056" s="11"/>
      <c r="G1056" s="11"/>
      <c r="H1056" s="11"/>
      <c r="I1056" s="11"/>
      <c r="J1056" s="11"/>
      <c r="K1056" s="11"/>
      <c r="L1056" s="15"/>
      <c r="M1056" s="15"/>
      <c r="N1056" s="15"/>
      <c r="O1056" s="15"/>
      <c r="P1056" s="15"/>
      <c r="Q1056" s="11"/>
      <c r="R1056" s="11"/>
      <c r="S1056" s="11"/>
      <c r="T1056" s="11"/>
      <c r="U1056" s="15"/>
      <c r="V1056" s="11"/>
      <c r="W1056" s="11"/>
      <c r="X1056" s="11"/>
      <c r="Y1056" s="11"/>
      <c r="Z1056" s="11"/>
    </row>
    <row r="1057">
      <c r="A1057" s="18"/>
      <c r="B1057" s="11"/>
      <c r="C1057" s="11"/>
      <c r="D1057" s="11"/>
      <c r="E1057" s="11"/>
      <c r="F1057" s="11"/>
      <c r="G1057" s="11"/>
      <c r="H1057" s="11"/>
      <c r="I1057" s="11"/>
      <c r="J1057" s="11"/>
      <c r="K1057" s="11"/>
      <c r="L1057" s="15"/>
      <c r="M1057" s="15"/>
      <c r="N1057" s="15"/>
      <c r="O1057" s="15"/>
      <c r="P1057" s="15"/>
      <c r="Q1057" s="11"/>
      <c r="R1057" s="11"/>
      <c r="S1057" s="11"/>
      <c r="T1057" s="11"/>
      <c r="U1057" s="15"/>
      <c r="V1057" s="11"/>
      <c r="W1057" s="11"/>
      <c r="X1057" s="11"/>
      <c r="Y1057" s="11"/>
      <c r="Z1057" s="11"/>
    </row>
    <row r="1058">
      <c r="A1058" s="18"/>
      <c r="B1058" s="11"/>
      <c r="C1058" s="11"/>
      <c r="D1058" s="11"/>
      <c r="E1058" s="11"/>
      <c r="F1058" s="11"/>
      <c r="G1058" s="11"/>
      <c r="H1058" s="11"/>
      <c r="I1058" s="11"/>
      <c r="J1058" s="11"/>
      <c r="K1058" s="11"/>
      <c r="L1058" s="15"/>
      <c r="M1058" s="15"/>
      <c r="N1058" s="15"/>
      <c r="O1058" s="15"/>
      <c r="P1058" s="15"/>
      <c r="Q1058" s="11"/>
      <c r="R1058" s="11"/>
      <c r="S1058" s="11"/>
      <c r="T1058" s="11"/>
      <c r="U1058" s="15"/>
      <c r="V1058" s="11"/>
      <c r="W1058" s="11"/>
      <c r="X1058" s="11"/>
      <c r="Y1058" s="11"/>
      <c r="Z1058" s="11"/>
    </row>
    <row r="1059">
      <c r="A1059" s="18"/>
      <c r="B1059" s="11"/>
      <c r="C1059" s="11"/>
      <c r="D1059" s="11"/>
      <c r="E1059" s="11"/>
      <c r="F1059" s="11"/>
      <c r="G1059" s="11"/>
      <c r="H1059" s="11"/>
      <c r="I1059" s="11"/>
      <c r="J1059" s="11"/>
      <c r="K1059" s="11"/>
      <c r="L1059" s="15"/>
      <c r="M1059" s="15"/>
      <c r="N1059" s="15"/>
      <c r="O1059" s="15"/>
      <c r="P1059" s="15"/>
      <c r="Q1059" s="11"/>
      <c r="R1059" s="11"/>
      <c r="S1059" s="11"/>
      <c r="T1059" s="11"/>
      <c r="U1059" s="15"/>
      <c r="V1059" s="11"/>
      <c r="W1059" s="11"/>
      <c r="X1059" s="11"/>
      <c r="Y1059" s="11"/>
      <c r="Z1059" s="11"/>
    </row>
    <row r="1060">
      <c r="A1060" s="18"/>
      <c r="B1060" s="11"/>
      <c r="C1060" s="11"/>
      <c r="D1060" s="11"/>
      <c r="E1060" s="11"/>
      <c r="F1060" s="11"/>
      <c r="G1060" s="11"/>
      <c r="H1060" s="11"/>
      <c r="I1060" s="11"/>
      <c r="J1060" s="11"/>
      <c r="K1060" s="11"/>
      <c r="L1060" s="15"/>
      <c r="M1060" s="15"/>
      <c r="N1060" s="15"/>
      <c r="O1060" s="15"/>
      <c r="P1060" s="15"/>
      <c r="Q1060" s="11"/>
      <c r="R1060" s="11"/>
      <c r="S1060" s="11"/>
      <c r="T1060" s="11"/>
      <c r="U1060" s="15"/>
      <c r="V1060" s="11"/>
      <c r="W1060" s="11"/>
      <c r="X1060" s="11"/>
      <c r="Y1060" s="11"/>
      <c r="Z1060" s="11"/>
    </row>
    <row r="1061">
      <c r="A1061" s="18"/>
      <c r="B1061" s="11"/>
      <c r="C1061" s="11"/>
      <c r="D1061" s="11"/>
      <c r="E1061" s="11"/>
      <c r="F1061" s="11"/>
      <c r="G1061" s="11"/>
      <c r="H1061" s="11"/>
      <c r="I1061" s="11"/>
      <c r="J1061" s="11"/>
      <c r="K1061" s="11"/>
      <c r="L1061" s="15"/>
      <c r="M1061" s="15"/>
      <c r="N1061" s="15"/>
      <c r="O1061" s="15"/>
      <c r="P1061" s="15"/>
      <c r="Q1061" s="11"/>
      <c r="R1061" s="11"/>
      <c r="S1061" s="11"/>
      <c r="T1061" s="11"/>
      <c r="U1061" s="15"/>
      <c r="V1061" s="11"/>
      <c r="W1061" s="11"/>
      <c r="X1061" s="11"/>
      <c r="Y1061" s="11"/>
      <c r="Z1061" s="11"/>
    </row>
    <row r="1062">
      <c r="A1062" s="18"/>
      <c r="B1062" s="11"/>
      <c r="C1062" s="11"/>
      <c r="D1062" s="11"/>
      <c r="E1062" s="11"/>
      <c r="F1062" s="11"/>
      <c r="G1062" s="11"/>
      <c r="H1062" s="11"/>
      <c r="I1062" s="11"/>
      <c r="J1062" s="11"/>
      <c r="K1062" s="11"/>
      <c r="L1062" s="15"/>
      <c r="M1062" s="15"/>
      <c r="N1062" s="15"/>
      <c r="O1062" s="15"/>
      <c r="P1062" s="15"/>
      <c r="Q1062" s="11"/>
      <c r="R1062" s="11"/>
      <c r="S1062" s="11"/>
      <c r="T1062" s="11"/>
      <c r="U1062" s="15"/>
      <c r="V1062" s="11"/>
      <c r="W1062" s="11"/>
      <c r="X1062" s="11"/>
      <c r="Y1062" s="11"/>
      <c r="Z1062" s="11"/>
    </row>
    <row r="1063">
      <c r="A1063" s="18"/>
      <c r="B1063" s="11"/>
      <c r="C1063" s="11"/>
      <c r="D1063" s="11"/>
      <c r="E1063" s="11"/>
      <c r="F1063" s="11"/>
      <c r="G1063" s="11"/>
      <c r="H1063" s="11"/>
      <c r="I1063" s="11"/>
      <c r="J1063" s="11"/>
      <c r="K1063" s="11"/>
      <c r="L1063" s="15"/>
      <c r="M1063" s="15"/>
      <c r="N1063" s="15"/>
      <c r="O1063" s="15"/>
      <c r="P1063" s="15"/>
      <c r="Q1063" s="11"/>
      <c r="R1063" s="11"/>
      <c r="S1063" s="11"/>
      <c r="T1063" s="11"/>
      <c r="U1063" s="15"/>
      <c r="V1063" s="11"/>
      <c r="W1063" s="11"/>
      <c r="X1063" s="11"/>
      <c r="Y1063" s="11"/>
      <c r="Z1063" s="11"/>
    </row>
    <row r="1064">
      <c r="A1064" s="18"/>
      <c r="B1064" s="11"/>
      <c r="C1064" s="11"/>
      <c r="D1064" s="11"/>
      <c r="E1064" s="11"/>
      <c r="F1064" s="11"/>
      <c r="G1064" s="11"/>
      <c r="H1064" s="11"/>
      <c r="I1064" s="11"/>
      <c r="J1064" s="11"/>
      <c r="K1064" s="11"/>
      <c r="L1064" s="15"/>
      <c r="M1064" s="15"/>
      <c r="N1064" s="15"/>
      <c r="O1064" s="15"/>
      <c r="P1064" s="15"/>
      <c r="Q1064" s="11"/>
      <c r="R1064" s="11"/>
      <c r="S1064" s="11"/>
      <c r="T1064" s="11"/>
      <c r="U1064" s="15"/>
      <c r="V1064" s="11"/>
      <c r="W1064" s="11"/>
      <c r="X1064" s="11"/>
      <c r="Y1064" s="11"/>
      <c r="Z1064" s="11"/>
    </row>
    <row r="1065">
      <c r="A1065" s="18"/>
      <c r="B1065" s="11"/>
      <c r="C1065" s="11"/>
      <c r="D1065" s="11"/>
      <c r="E1065" s="11"/>
      <c r="F1065" s="11"/>
      <c r="G1065" s="11"/>
      <c r="H1065" s="11"/>
      <c r="I1065" s="11"/>
      <c r="J1065" s="11"/>
      <c r="K1065" s="11"/>
      <c r="L1065" s="15"/>
      <c r="M1065" s="15"/>
      <c r="N1065" s="15"/>
      <c r="O1065" s="15"/>
      <c r="P1065" s="15"/>
      <c r="Q1065" s="11"/>
      <c r="R1065" s="11"/>
      <c r="S1065" s="11"/>
      <c r="T1065" s="11"/>
      <c r="U1065" s="15"/>
      <c r="V1065" s="11"/>
      <c r="W1065" s="11"/>
      <c r="X1065" s="11"/>
      <c r="Y1065" s="11"/>
      <c r="Z1065" s="11"/>
    </row>
    <row r="1066">
      <c r="A1066" s="18"/>
      <c r="B1066" s="11"/>
      <c r="C1066" s="11"/>
      <c r="D1066" s="11"/>
      <c r="E1066" s="11"/>
      <c r="F1066" s="11"/>
      <c r="G1066" s="11"/>
      <c r="H1066" s="11"/>
      <c r="I1066" s="11"/>
      <c r="J1066" s="11"/>
      <c r="K1066" s="11"/>
      <c r="L1066" s="15"/>
      <c r="M1066" s="15"/>
      <c r="N1066" s="15"/>
      <c r="O1066" s="15"/>
      <c r="P1066" s="15"/>
      <c r="Q1066" s="11"/>
      <c r="R1066" s="11"/>
      <c r="S1066" s="11"/>
      <c r="T1066" s="11"/>
      <c r="U1066" s="15"/>
      <c r="V1066" s="11"/>
      <c r="W1066" s="11"/>
      <c r="X1066" s="11"/>
      <c r="Y1066" s="11"/>
      <c r="Z1066" s="11"/>
    </row>
    <row r="1067">
      <c r="A1067" s="18"/>
      <c r="B1067" s="11"/>
      <c r="C1067" s="11"/>
      <c r="D1067" s="11"/>
      <c r="E1067" s="11"/>
      <c r="F1067" s="11"/>
      <c r="G1067" s="11"/>
      <c r="H1067" s="11"/>
      <c r="I1067" s="11"/>
      <c r="J1067" s="11"/>
      <c r="K1067" s="11"/>
      <c r="L1067" s="15"/>
      <c r="M1067" s="15"/>
      <c r="N1067" s="15"/>
      <c r="O1067" s="15"/>
      <c r="P1067" s="15"/>
      <c r="Q1067" s="11"/>
      <c r="R1067" s="11"/>
      <c r="S1067" s="11"/>
      <c r="T1067" s="11"/>
      <c r="U1067" s="15"/>
      <c r="V1067" s="11"/>
      <c r="W1067" s="11"/>
      <c r="X1067" s="11"/>
      <c r="Y1067" s="11"/>
      <c r="Z1067" s="11"/>
    </row>
    <row r="1068">
      <c r="A1068" s="18"/>
      <c r="B1068" s="11"/>
      <c r="C1068" s="11"/>
      <c r="D1068" s="11"/>
      <c r="E1068" s="11"/>
      <c r="F1068" s="11"/>
      <c r="G1068" s="11"/>
      <c r="H1068" s="11"/>
      <c r="I1068" s="11"/>
      <c r="J1068" s="11"/>
      <c r="K1068" s="11"/>
      <c r="L1068" s="15"/>
      <c r="M1068" s="15"/>
      <c r="N1068" s="15"/>
      <c r="O1068" s="15"/>
      <c r="P1068" s="15"/>
      <c r="Q1068" s="11"/>
      <c r="R1068" s="11"/>
      <c r="S1068" s="11"/>
      <c r="T1068" s="11"/>
      <c r="U1068" s="15"/>
      <c r="V1068" s="11"/>
      <c r="W1068" s="11"/>
      <c r="X1068" s="11"/>
      <c r="Y1068" s="11"/>
      <c r="Z1068" s="11"/>
    </row>
    <row r="1069">
      <c r="A1069" s="18"/>
      <c r="B1069" s="11"/>
      <c r="C1069" s="11"/>
      <c r="D1069" s="11"/>
      <c r="E1069" s="11"/>
      <c r="F1069" s="11"/>
      <c r="G1069" s="11"/>
      <c r="H1069" s="11"/>
      <c r="I1069" s="11"/>
      <c r="J1069" s="11"/>
      <c r="K1069" s="11"/>
      <c r="L1069" s="15"/>
      <c r="M1069" s="15"/>
      <c r="N1069" s="15"/>
      <c r="O1069" s="15"/>
      <c r="P1069" s="15"/>
      <c r="Q1069" s="11"/>
      <c r="R1069" s="11"/>
      <c r="S1069" s="11"/>
      <c r="T1069" s="11"/>
      <c r="U1069" s="15"/>
      <c r="V1069" s="11"/>
      <c r="W1069" s="11"/>
      <c r="X1069" s="11"/>
      <c r="Y1069" s="11"/>
      <c r="Z1069" s="11"/>
    </row>
    <row r="1070">
      <c r="A1070" s="18"/>
      <c r="B1070" s="11"/>
      <c r="C1070" s="11"/>
      <c r="D1070" s="11"/>
      <c r="E1070" s="11"/>
      <c r="F1070" s="11"/>
      <c r="G1070" s="11"/>
      <c r="H1070" s="11"/>
      <c r="I1070" s="11"/>
      <c r="J1070" s="11"/>
      <c r="K1070" s="11"/>
      <c r="L1070" s="15"/>
      <c r="M1070" s="15"/>
      <c r="N1070" s="15"/>
      <c r="O1070" s="15"/>
      <c r="P1070" s="15"/>
      <c r="Q1070" s="11"/>
      <c r="R1070" s="11"/>
      <c r="S1070" s="11"/>
      <c r="T1070" s="11"/>
      <c r="U1070" s="15"/>
      <c r="V1070" s="11"/>
      <c r="W1070" s="11"/>
      <c r="X1070" s="11"/>
      <c r="Y1070" s="11"/>
      <c r="Z1070" s="11"/>
    </row>
    <row r="1071">
      <c r="A1071" s="18"/>
      <c r="B1071" s="11"/>
      <c r="C1071" s="11"/>
      <c r="D1071" s="11"/>
      <c r="E1071" s="11"/>
      <c r="F1071" s="11"/>
      <c r="G1071" s="11"/>
      <c r="H1071" s="11"/>
      <c r="I1071" s="11"/>
      <c r="J1071" s="11"/>
      <c r="K1071" s="11"/>
      <c r="L1071" s="15"/>
      <c r="M1071" s="15"/>
      <c r="N1071" s="15"/>
      <c r="O1071" s="15"/>
      <c r="P1071" s="15"/>
      <c r="Q1071" s="11"/>
      <c r="R1071" s="11"/>
      <c r="S1071" s="11"/>
      <c r="T1071" s="11"/>
      <c r="U1071" s="15"/>
      <c r="V1071" s="11"/>
      <c r="W1071" s="11"/>
      <c r="X1071" s="11"/>
      <c r="Y1071" s="11"/>
      <c r="Z1071" s="11"/>
    </row>
    <row r="1072">
      <c r="A1072" s="18"/>
      <c r="B1072" s="11"/>
      <c r="C1072" s="11"/>
      <c r="D1072" s="11"/>
      <c r="E1072" s="11"/>
      <c r="F1072" s="11"/>
      <c r="G1072" s="11"/>
      <c r="H1072" s="11"/>
      <c r="I1072" s="11"/>
      <c r="J1072" s="11"/>
      <c r="K1072" s="11"/>
      <c r="L1072" s="15"/>
      <c r="M1072" s="15"/>
      <c r="N1072" s="15"/>
      <c r="O1072" s="15"/>
      <c r="P1072" s="15"/>
      <c r="Q1072" s="11"/>
      <c r="R1072" s="11"/>
      <c r="S1072" s="11"/>
      <c r="T1072" s="11"/>
      <c r="U1072" s="15"/>
      <c r="V1072" s="11"/>
      <c r="W1072" s="11"/>
      <c r="X1072" s="11"/>
      <c r="Y1072" s="11"/>
      <c r="Z1072" s="11"/>
    </row>
    <row r="1073">
      <c r="A1073" s="18"/>
      <c r="B1073" s="11"/>
      <c r="C1073" s="11"/>
      <c r="D1073" s="11"/>
      <c r="E1073" s="11"/>
      <c r="F1073" s="11"/>
      <c r="G1073" s="11"/>
      <c r="H1073" s="11"/>
      <c r="I1073" s="11"/>
      <c r="J1073" s="11"/>
      <c r="K1073" s="11"/>
      <c r="L1073" s="15"/>
      <c r="M1073" s="15"/>
      <c r="N1073" s="15"/>
      <c r="O1073" s="15"/>
      <c r="P1073" s="15"/>
      <c r="Q1073" s="11"/>
      <c r="R1073" s="11"/>
      <c r="S1073" s="11"/>
      <c r="T1073" s="11"/>
      <c r="U1073" s="15"/>
      <c r="V1073" s="11"/>
      <c r="W1073" s="11"/>
      <c r="X1073" s="11"/>
      <c r="Y1073" s="11"/>
      <c r="Z1073" s="11"/>
    </row>
    <row r="1074">
      <c r="A1074" s="18"/>
      <c r="B1074" s="11"/>
      <c r="C1074" s="11"/>
      <c r="D1074" s="11"/>
      <c r="E1074" s="11"/>
      <c r="F1074" s="11"/>
      <c r="G1074" s="11"/>
      <c r="H1074" s="11"/>
      <c r="I1074" s="11"/>
      <c r="J1074" s="11"/>
      <c r="K1074" s="11"/>
      <c r="L1074" s="15"/>
      <c r="M1074" s="15"/>
      <c r="N1074" s="15"/>
      <c r="O1074" s="15"/>
      <c r="P1074" s="15"/>
      <c r="Q1074" s="11"/>
      <c r="R1074" s="11"/>
      <c r="S1074" s="11"/>
      <c r="T1074" s="11"/>
      <c r="U1074" s="15"/>
      <c r="V1074" s="11"/>
      <c r="W1074" s="11"/>
      <c r="X1074" s="11"/>
      <c r="Y1074" s="11"/>
      <c r="Z1074" s="11"/>
    </row>
    <row r="1075">
      <c r="A1075" s="18"/>
      <c r="B1075" s="11"/>
      <c r="C1075" s="11"/>
      <c r="D1075" s="11"/>
      <c r="E1075" s="11"/>
      <c r="F1075" s="11"/>
      <c r="G1075" s="11"/>
      <c r="H1075" s="11"/>
      <c r="I1075" s="11"/>
      <c r="J1075" s="11"/>
      <c r="K1075" s="11"/>
      <c r="L1075" s="15"/>
      <c r="M1075" s="15"/>
      <c r="N1075" s="15"/>
      <c r="O1075" s="15"/>
      <c r="P1075" s="15"/>
      <c r="Q1075" s="11"/>
      <c r="R1075" s="11"/>
      <c r="S1075" s="11"/>
      <c r="T1075" s="11"/>
      <c r="U1075" s="15"/>
      <c r="V1075" s="11"/>
      <c r="W1075" s="11"/>
      <c r="X1075" s="11"/>
      <c r="Y1075" s="11"/>
      <c r="Z1075" s="11"/>
    </row>
    <row r="1076">
      <c r="A1076" s="18"/>
      <c r="B1076" s="11"/>
      <c r="C1076" s="11"/>
      <c r="D1076" s="11"/>
      <c r="E1076" s="11"/>
      <c r="F1076" s="11"/>
      <c r="G1076" s="11"/>
      <c r="H1076" s="11"/>
      <c r="I1076" s="11"/>
      <c r="J1076" s="11"/>
      <c r="K1076" s="11"/>
      <c r="L1076" s="15"/>
      <c r="M1076" s="15"/>
      <c r="N1076" s="15"/>
      <c r="O1076" s="15"/>
      <c r="P1076" s="15"/>
      <c r="Q1076" s="11"/>
      <c r="R1076" s="11"/>
      <c r="S1076" s="11"/>
      <c r="T1076" s="11"/>
      <c r="U1076" s="15"/>
      <c r="V1076" s="11"/>
      <c r="W1076" s="11"/>
      <c r="X1076" s="11"/>
      <c r="Y1076" s="11"/>
      <c r="Z1076" s="11"/>
    </row>
    <row r="1077">
      <c r="A1077" s="18"/>
      <c r="B1077" s="11"/>
      <c r="C1077" s="11"/>
      <c r="D1077" s="11"/>
      <c r="E1077" s="11"/>
      <c r="F1077" s="11"/>
      <c r="G1077" s="11"/>
      <c r="H1077" s="11"/>
      <c r="I1077" s="11"/>
      <c r="J1077" s="11"/>
      <c r="K1077" s="11"/>
      <c r="L1077" s="15"/>
      <c r="M1077" s="15"/>
      <c r="N1077" s="15"/>
      <c r="O1077" s="15"/>
      <c r="P1077" s="15"/>
      <c r="Q1077" s="11"/>
      <c r="R1077" s="11"/>
      <c r="S1077" s="11"/>
      <c r="T1077" s="11"/>
      <c r="U1077" s="15"/>
      <c r="V1077" s="11"/>
      <c r="W1077" s="11"/>
      <c r="X1077" s="11"/>
      <c r="Y1077" s="11"/>
      <c r="Z1077" s="11"/>
    </row>
    <row r="1078">
      <c r="A1078" s="18"/>
      <c r="B1078" s="11"/>
      <c r="C1078" s="11"/>
      <c r="D1078" s="11"/>
      <c r="E1078" s="11"/>
      <c r="F1078" s="11"/>
      <c r="G1078" s="11"/>
      <c r="H1078" s="11"/>
      <c r="I1078" s="11"/>
      <c r="J1078" s="11"/>
      <c r="K1078" s="11"/>
      <c r="L1078" s="15"/>
      <c r="M1078" s="15"/>
      <c r="N1078" s="15"/>
      <c r="O1078" s="15"/>
      <c r="P1078" s="15"/>
      <c r="Q1078" s="11"/>
      <c r="R1078" s="11"/>
      <c r="S1078" s="11"/>
      <c r="T1078" s="11"/>
      <c r="U1078" s="15"/>
      <c r="V1078" s="11"/>
      <c r="W1078" s="11"/>
      <c r="X1078" s="11"/>
      <c r="Y1078" s="11"/>
      <c r="Z1078" s="11"/>
    </row>
    <row r="1079">
      <c r="A1079" s="18"/>
      <c r="B1079" s="11"/>
      <c r="C1079" s="11"/>
      <c r="D1079" s="11"/>
      <c r="E1079" s="11"/>
      <c r="F1079" s="11"/>
      <c r="G1079" s="11"/>
      <c r="H1079" s="11"/>
      <c r="I1079" s="11"/>
      <c r="J1079" s="11"/>
      <c r="K1079" s="11"/>
      <c r="L1079" s="15"/>
      <c r="M1079" s="15"/>
      <c r="N1079" s="15"/>
      <c r="O1079" s="15"/>
      <c r="P1079" s="15"/>
      <c r="Q1079" s="11"/>
      <c r="R1079" s="11"/>
      <c r="S1079" s="11"/>
      <c r="T1079" s="11"/>
      <c r="U1079" s="15"/>
      <c r="V1079" s="11"/>
      <c r="W1079" s="11"/>
      <c r="X1079" s="11"/>
      <c r="Y1079" s="11"/>
      <c r="Z1079" s="11"/>
    </row>
    <row r="1080">
      <c r="A1080" s="18"/>
      <c r="B1080" s="11"/>
      <c r="C1080" s="11"/>
      <c r="D1080" s="11"/>
      <c r="E1080" s="11"/>
      <c r="F1080" s="11"/>
      <c r="G1080" s="11"/>
      <c r="H1080" s="11"/>
      <c r="I1080" s="11"/>
      <c r="J1080" s="11"/>
      <c r="K1080" s="11"/>
      <c r="L1080" s="15"/>
      <c r="M1080" s="15"/>
      <c r="N1080" s="15"/>
      <c r="O1080" s="15"/>
      <c r="P1080" s="15"/>
      <c r="Q1080" s="11"/>
      <c r="R1080" s="11"/>
      <c r="S1080" s="11"/>
      <c r="T1080" s="11"/>
      <c r="U1080" s="15"/>
      <c r="V1080" s="11"/>
      <c r="W1080" s="11"/>
      <c r="X1080" s="11"/>
      <c r="Y1080" s="11"/>
      <c r="Z1080" s="11"/>
    </row>
    <row r="1081">
      <c r="A1081" s="18"/>
      <c r="B1081" s="11"/>
      <c r="C1081" s="11"/>
      <c r="D1081" s="11"/>
      <c r="E1081" s="11"/>
      <c r="F1081" s="11"/>
      <c r="G1081" s="11"/>
      <c r="H1081" s="11"/>
      <c r="I1081" s="11"/>
      <c r="J1081" s="11"/>
      <c r="K1081" s="11"/>
      <c r="L1081" s="15"/>
      <c r="M1081" s="15"/>
      <c r="N1081" s="15"/>
      <c r="O1081" s="15"/>
      <c r="P1081" s="15"/>
      <c r="Q1081" s="11"/>
      <c r="R1081" s="11"/>
      <c r="S1081" s="11"/>
      <c r="T1081" s="11"/>
      <c r="U1081" s="15"/>
      <c r="V1081" s="11"/>
      <c r="W1081" s="11"/>
      <c r="X1081" s="11"/>
      <c r="Y1081" s="11"/>
      <c r="Z1081" s="11"/>
    </row>
    <row r="1082">
      <c r="A1082" s="18"/>
      <c r="B1082" s="11"/>
      <c r="C1082" s="11"/>
      <c r="D1082" s="11"/>
      <c r="E1082" s="11"/>
      <c r="F1082" s="11"/>
      <c r="G1082" s="11"/>
      <c r="H1082" s="11"/>
      <c r="I1082" s="11"/>
      <c r="J1082" s="11"/>
      <c r="K1082" s="11"/>
      <c r="L1082" s="15"/>
      <c r="M1082" s="15"/>
      <c r="N1082" s="15"/>
      <c r="O1082" s="15"/>
      <c r="P1082" s="15"/>
      <c r="Q1082" s="11"/>
      <c r="R1082" s="11"/>
      <c r="S1082" s="11"/>
      <c r="T1082" s="11"/>
      <c r="U1082" s="15"/>
      <c r="V1082" s="11"/>
      <c r="W1082" s="11"/>
      <c r="X1082" s="11"/>
      <c r="Y1082" s="11"/>
      <c r="Z1082" s="11"/>
    </row>
  </sheetData>
  <hyperlinks>
    <hyperlink r:id="rId1" ref="G3"/>
    <hyperlink r:id="rId2" ref="S4"/>
    <hyperlink r:id="rId3" ref="S7"/>
    <hyperlink r:id="rId4" ref="G11"/>
    <hyperlink r:id="rId5" ref="S13"/>
    <hyperlink r:id="rId6" ref="F16"/>
    <hyperlink r:id="rId7" ref="F18"/>
    <hyperlink r:id="rId8" ref="G18"/>
    <hyperlink r:id="rId9" ref="S19"/>
    <hyperlink r:id="rId10" ref="F21"/>
    <hyperlink r:id="rId11" ref="G21"/>
    <hyperlink r:id="rId12" ref="S21"/>
    <hyperlink r:id="rId13" ref="S22"/>
    <hyperlink r:id="rId14" ref="S23"/>
    <hyperlink r:id="rId15" ref="S24"/>
    <hyperlink r:id="rId16" ref="S25"/>
    <hyperlink r:id="rId17" ref="G26"/>
    <hyperlink r:id="rId18" ref="S26"/>
    <hyperlink r:id="rId19" ref="S30"/>
    <hyperlink r:id="rId20" ref="G33"/>
    <hyperlink r:id="rId21" ref="S33"/>
    <hyperlink r:id="rId22" ref="S34"/>
    <hyperlink r:id="rId23" ref="G35"/>
    <hyperlink r:id="rId24" ref="S36"/>
    <hyperlink r:id="rId25" ref="G37"/>
    <hyperlink r:id="rId26" ref="S37"/>
    <hyperlink r:id="rId27" ref="G38"/>
    <hyperlink r:id="rId28" ref="S40"/>
    <hyperlink r:id="rId29" ref="S41"/>
    <hyperlink r:id="rId30" ref="F42"/>
    <hyperlink r:id="rId31" ref="G43"/>
    <hyperlink r:id="rId32" ref="S43"/>
    <hyperlink r:id="rId33" ref="F45"/>
    <hyperlink r:id="rId34" ref="G45"/>
    <hyperlink r:id="rId35" ref="S46"/>
    <hyperlink r:id="rId36" ref="G47"/>
    <hyperlink r:id="rId37" ref="S47"/>
    <hyperlink r:id="rId38" ref="S49"/>
    <hyperlink r:id="rId39" ref="F52"/>
    <hyperlink r:id="rId40" ref="G52"/>
    <hyperlink r:id="rId41" ref="S53"/>
    <hyperlink r:id="rId42" ref="G54"/>
    <hyperlink r:id="rId43" ref="F55"/>
    <hyperlink r:id="rId44" ref="G56"/>
    <hyperlink r:id="rId45" ref="G58"/>
    <hyperlink r:id="rId46" ref="F59"/>
    <hyperlink r:id="rId47" ref="G59"/>
    <hyperlink r:id="rId48" ref="S59"/>
    <hyperlink r:id="rId49" ref="F61"/>
    <hyperlink r:id="rId50" ref="G61"/>
    <hyperlink r:id="rId51" ref="S61"/>
    <hyperlink r:id="rId52" ref="G66"/>
    <hyperlink r:id="rId53" ref="F68"/>
    <hyperlink r:id="rId54" ref="G68"/>
    <hyperlink r:id="rId55" ref="F70"/>
    <hyperlink r:id="rId56" ref="F73"/>
    <hyperlink r:id="rId57" ref="G73"/>
    <hyperlink r:id="rId58" ref="S73"/>
    <hyperlink r:id="rId59" ref="S75"/>
    <hyperlink r:id="rId60" ref="G76"/>
    <hyperlink r:id="rId61" ref="G77"/>
    <hyperlink r:id="rId62" ref="G80"/>
    <hyperlink r:id="rId63" ref="F82"/>
    <hyperlink r:id="rId64" ref="G82"/>
  </hyperlinks>
  <drawing r:id="rId65"/>
  <tableParts count="1">
    <tablePart r:id="rId6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 width="15.86"/>
    <col customWidth="1" min="3" max="3" width="21.57"/>
    <col customWidth="1" min="4" max="4" width="43.0"/>
    <col customWidth="1" min="5" max="5" width="18.71"/>
    <col customWidth="1" min="6" max="6" width="21.57"/>
  </cols>
  <sheetData>
    <row r="1" ht="24.0" customHeight="1">
      <c r="A1" s="1"/>
      <c r="B1" s="2" t="s">
        <v>370</v>
      </c>
      <c r="C1" s="3"/>
      <c r="D1" s="3"/>
      <c r="E1" s="3"/>
      <c r="F1" s="3"/>
      <c r="G1" s="3"/>
      <c r="H1" s="3"/>
      <c r="I1" s="3"/>
      <c r="J1" s="3"/>
      <c r="K1" s="3"/>
      <c r="L1" s="4"/>
      <c r="M1" s="4"/>
      <c r="N1" s="4"/>
      <c r="O1" s="4"/>
      <c r="P1" s="4"/>
      <c r="Q1" s="3"/>
      <c r="R1" s="3"/>
      <c r="S1" s="3"/>
      <c r="T1" s="3"/>
      <c r="U1" s="4"/>
      <c r="V1" s="3"/>
      <c r="W1" s="3"/>
      <c r="X1" s="3"/>
      <c r="Y1" s="3"/>
      <c r="Z1" s="3"/>
    </row>
    <row r="2" ht="24.0" customHeight="1">
      <c r="A2" s="5" t="s">
        <v>1</v>
      </c>
      <c r="B2" s="6" t="s">
        <v>2</v>
      </c>
      <c r="C2" s="6" t="s">
        <v>3</v>
      </c>
      <c r="D2" s="6" t="s">
        <v>4</v>
      </c>
      <c r="E2" s="6" t="s">
        <v>5</v>
      </c>
      <c r="F2" s="6" t="s">
        <v>6</v>
      </c>
      <c r="G2" s="6" t="s">
        <v>7</v>
      </c>
      <c r="H2" s="6" t="s">
        <v>8</v>
      </c>
      <c r="I2" s="6" t="s">
        <v>9</v>
      </c>
      <c r="J2" s="6" t="s">
        <v>10</v>
      </c>
      <c r="K2" s="6" t="s">
        <v>11</v>
      </c>
      <c r="L2" s="5" t="s">
        <v>12</v>
      </c>
      <c r="M2" s="5" t="s">
        <v>13</v>
      </c>
      <c r="N2" s="5" t="s">
        <v>14</v>
      </c>
      <c r="O2" s="5" t="s">
        <v>15</v>
      </c>
      <c r="P2" s="5" t="s">
        <v>16</v>
      </c>
      <c r="Q2" s="6" t="s">
        <v>8</v>
      </c>
      <c r="R2" s="6" t="s">
        <v>17</v>
      </c>
      <c r="S2" s="6" t="s">
        <v>18</v>
      </c>
      <c r="T2" s="6" t="s">
        <v>19</v>
      </c>
      <c r="U2" s="5" t="s">
        <v>20</v>
      </c>
      <c r="V2" s="7"/>
      <c r="W2" s="7"/>
      <c r="X2" s="7"/>
      <c r="Y2" s="7"/>
      <c r="Z2" s="7"/>
    </row>
    <row r="3">
      <c r="A3" s="8">
        <v>44218.65909722222</v>
      </c>
      <c r="B3" s="9" t="str">
        <f>HYPERLINK("https://twitter.com/xjoonxs","@xjoonxs")</f>
        <v>@xjoonxs</v>
      </c>
      <c r="C3" s="10" t="s">
        <v>371</v>
      </c>
      <c r="D3" s="10" t="s">
        <v>372</v>
      </c>
      <c r="E3" s="9" t="str">
        <f>HYPERLINK("https://twitter.com/xjoonxs/status/1352765262592962561","1352765262592962561")</f>
        <v>1352765262592962561</v>
      </c>
      <c r="F3" s="10" t="s">
        <v>373</v>
      </c>
      <c r="G3" s="11"/>
      <c r="H3" s="11"/>
      <c r="I3" s="13">
        <v>0.0</v>
      </c>
      <c r="J3" s="13">
        <v>0.0</v>
      </c>
      <c r="K3" s="9" t="str">
        <f>HYPERLINK("http://twitter.com/download/android","Twitter for Android")</f>
        <v>Twitter for Android</v>
      </c>
      <c r="L3" s="14">
        <v>314.0</v>
      </c>
      <c r="M3" s="14">
        <v>329.0</v>
      </c>
      <c r="N3" s="14">
        <v>5.0</v>
      </c>
      <c r="O3" s="15"/>
      <c r="P3" s="16">
        <v>43913.601435185185</v>
      </c>
      <c r="Q3" s="11"/>
      <c r="R3" s="10" t="s">
        <v>374</v>
      </c>
      <c r="S3" s="12" t="s">
        <v>375</v>
      </c>
      <c r="T3" s="11"/>
      <c r="U3" s="17" t="str">
        <f>HYPERLINK("https://pbs.twimg.com/profile_images/1353432625440911360/tQfz36nb.jpg","View")</f>
        <v>View</v>
      </c>
      <c r="V3" s="11"/>
      <c r="W3" s="11"/>
      <c r="X3" s="11"/>
      <c r="Y3" s="11"/>
      <c r="Z3" s="11"/>
    </row>
    <row r="4">
      <c r="A4" s="8">
        <v>44217.86289351852</v>
      </c>
      <c r="B4" s="9" t="str">
        <f>HYPERLINK("https://twitter.com/_thousxnd","@_thousxnd")</f>
        <v>@_thousxnd</v>
      </c>
      <c r="C4" s="10" t="s">
        <v>376</v>
      </c>
      <c r="D4" s="10" t="s">
        <v>377</v>
      </c>
      <c r="E4" s="9" t="str">
        <f>HYPERLINK("https://twitter.com/_thousxnd/status/1352476726325084161","1352476726325084161")</f>
        <v>1352476726325084161</v>
      </c>
      <c r="F4" s="11"/>
      <c r="G4" s="11"/>
      <c r="H4" s="11"/>
      <c r="I4" s="13">
        <v>0.0</v>
      </c>
      <c r="J4" s="13">
        <v>23.0</v>
      </c>
      <c r="K4" s="9" t="str">
        <f>HYPERLINK("http://twitter.com/download/iphone","Twitter for iPhone")</f>
        <v>Twitter for iPhone</v>
      </c>
      <c r="L4" s="14">
        <v>2085.0</v>
      </c>
      <c r="M4" s="14">
        <v>320.0</v>
      </c>
      <c r="N4" s="14">
        <v>7.0</v>
      </c>
      <c r="O4" s="15"/>
      <c r="P4" s="16">
        <v>41308.64268518519</v>
      </c>
      <c r="Q4" s="10" t="s">
        <v>378</v>
      </c>
      <c r="R4" s="10" t="s">
        <v>379</v>
      </c>
      <c r="S4" s="11"/>
      <c r="T4" s="11"/>
      <c r="U4" s="17" t="str">
        <f>HYPERLINK("https://pbs.twimg.com/profile_images/1325287270740451329/uTXhZzVL.jpg","View")</f>
        <v>View</v>
      </c>
      <c r="V4" s="11"/>
      <c r="W4" s="11"/>
      <c r="X4" s="11"/>
      <c r="Y4" s="11"/>
      <c r="Z4" s="11"/>
    </row>
    <row r="5">
      <c r="A5" s="8">
        <v>44215.17446759259</v>
      </c>
      <c r="B5" s="9" t="str">
        <f>HYPERLINK("https://twitter.com/Vickyvics_","@Vickyvics_")</f>
        <v>@Vickyvics_</v>
      </c>
      <c r="C5" s="10" t="s">
        <v>380</v>
      </c>
      <c r="D5" s="10" t="s">
        <v>381</v>
      </c>
      <c r="E5" s="9" t="str">
        <f>HYPERLINK("https://twitter.com/Vickyvics_/status/1351502474436292609","1351502474436292609")</f>
        <v>1351502474436292609</v>
      </c>
      <c r="F5" s="11"/>
      <c r="G5" s="12" t="s">
        <v>382</v>
      </c>
      <c r="H5" s="11"/>
      <c r="I5" s="13">
        <v>0.0</v>
      </c>
      <c r="J5" s="13">
        <v>4.0</v>
      </c>
      <c r="K5" s="9" t="str">
        <f>HYPERLINK("http://twitter.com/download/android","Twitter for Android")</f>
        <v>Twitter for Android</v>
      </c>
      <c r="L5" s="14">
        <v>316.0</v>
      </c>
      <c r="M5" s="14">
        <v>371.0</v>
      </c>
      <c r="N5" s="14">
        <v>1.0</v>
      </c>
      <c r="O5" s="15"/>
      <c r="P5" s="16">
        <v>40403.736909722225</v>
      </c>
      <c r="Q5" s="10" t="s">
        <v>383</v>
      </c>
      <c r="R5" s="10" t="s">
        <v>384</v>
      </c>
      <c r="S5" s="12" t="s">
        <v>385</v>
      </c>
      <c r="T5" s="11"/>
      <c r="U5" s="17" t="str">
        <f>HYPERLINK("https://pbs.twimg.com/profile_images/1339595751337279490/rKPktluO.jpg","View")</f>
        <v>View</v>
      </c>
      <c r="V5" s="11"/>
      <c r="W5" s="11"/>
      <c r="X5" s="11"/>
      <c r="Y5" s="11"/>
      <c r="Z5" s="11"/>
    </row>
    <row r="6">
      <c r="A6" s="18"/>
      <c r="B6" s="11"/>
      <c r="C6" s="11"/>
      <c r="D6" s="11"/>
      <c r="E6" s="11"/>
      <c r="F6" s="11"/>
      <c r="G6" s="11"/>
      <c r="H6" s="11"/>
      <c r="I6" s="11"/>
      <c r="J6" s="11"/>
      <c r="K6" s="11"/>
      <c r="L6" s="15"/>
      <c r="M6" s="15"/>
      <c r="N6" s="15"/>
      <c r="O6" s="15"/>
      <c r="P6" s="15"/>
      <c r="Q6" s="11"/>
      <c r="R6" s="11"/>
      <c r="S6" s="11"/>
      <c r="T6" s="11"/>
      <c r="U6" s="15"/>
      <c r="V6" s="11"/>
      <c r="W6" s="11"/>
      <c r="X6" s="11"/>
      <c r="Y6" s="11"/>
      <c r="Z6" s="11"/>
    </row>
    <row r="7">
      <c r="A7" s="18"/>
      <c r="B7" s="11"/>
      <c r="C7" s="11"/>
      <c r="D7" s="11"/>
      <c r="E7" s="11"/>
      <c r="F7" s="11"/>
      <c r="G7" s="11"/>
      <c r="H7" s="11"/>
      <c r="I7" s="11"/>
      <c r="J7" s="11"/>
      <c r="K7" s="11"/>
      <c r="L7" s="15"/>
      <c r="M7" s="15"/>
      <c r="N7" s="15"/>
      <c r="O7" s="15"/>
      <c r="P7" s="15"/>
      <c r="Q7" s="11"/>
      <c r="R7" s="11"/>
      <c r="S7" s="11"/>
      <c r="T7" s="11"/>
      <c r="U7" s="15"/>
      <c r="V7" s="11"/>
      <c r="W7" s="11"/>
      <c r="X7" s="11"/>
      <c r="Y7" s="11"/>
      <c r="Z7" s="11"/>
    </row>
    <row r="8">
      <c r="A8" s="18"/>
      <c r="B8" s="11"/>
      <c r="C8" s="11"/>
      <c r="D8" s="11"/>
      <c r="E8" s="11"/>
      <c r="F8" s="11"/>
      <c r="G8" s="11"/>
      <c r="H8" s="11"/>
      <c r="I8" s="11"/>
      <c r="J8" s="11"/>
      <c r="K8" s="11"/>
      <c r="L8" s="15"/>
      <c r="M8" s="15"/>
      <c r="N8" s="15"/>
      <c r="O8" s="15"/>
      <c r="P8" s="15"/>
      <c r="Q8" s="11"/>
      <c r="R8" s="11"/>
      <c r="S8" s="11"/>
      <c r="T8" s="11"/>
      <c r="U8" s="15"/>
      <c r="V8" s="11"/>
      <c r="W8" s="11"/>
      <c r="X8" s="11"/>
      <c r="Y8" s="11"/>
      <c r="Z8" s="11"/>
    </row>
    <row r="9">
      <c r="A9" s="18"/>
      <c r="B9" s="11"/>
      <c r="C9" s="11"/>
      <c r="D9" s="11"/>
      <c r="E9" s="11"/>
      <c r="F9" s="11"/>
      <c r="G9" s="11"/>
      <c r="H9" s="11"/>
      <c r="I9" s="11"/>
      <c r="J9" s="11"/>
      <c r="K9" s="11"/>
      <c r="L9" s="15"/>
      <c r="M9" s="15"/>
      <c r="N9" s="15"/>
      <c r="O9" s="15"/>
      <c r="P9" s="15"/>
      <c r="Q9" s="11"/>
      <c r="R9" s="11"/>
      <c r="S9" s="11"/>
      <c r="T9" s="11"/>
      <c r="U9" s="15"/>
      <c r="V9" s="11"/>
      <c r="W9" s="11"/>
      <c r="X9" s="11"/>
      <c r="Y9" s="11"/>
      <c r="Z9" s="11"/>
    </row>
    <row r="10">
      <c r="A10" s="18"/>
      <c r="B10" s="11"/>
      <c r="C10" s="11"/>
      <c r="D10" s="11"/>
      <c r="E10" s="11"/>
      <c r="F10" s="11"/>
      <c r="G10" s="11"/>
      <c r="H10" s="11"/>
      <c r="I10" s="11"/>
      <c r="J10" s="11"/>
      <c r="K10" s="11"/>
      <c r="L10" s="15"/>
      <c r="M10" s="15"/>
      <c r="N10" s="15"/>
      <c r="O10" s="15"/>
      <c r="P10" s="15"/>
      <c r="Q10" s="11"/>
      <c r="R10" s="11"/>
      <c r="S10" s="11"/>
      <c r="T10" s="11"/>
      <c r="U10" s="15"/>
      <c r="V10" s="11"/>
      <c r="W10" s="11"/>
      <c r="X10" s="11"/>
      <c r="Y10" s="11"/>
      <c r="Z10" s="11"/>
    </row>
    <row r="11">
      <c r="A11" s="18"/>
      <c r="B11" s="11"/>
      <c r="C11" s="11"/>
      <c r="D11" s="11"/>
      <c r="E11" s="11"/>
      <c r="F11" s="11"/>
      <c r="G11" s="11"/>
      <c r="H11" s="11"/>
      <c r="I11" s="11"/>
      <c r="J11" s="11"/>
      <c r="K11" s="11"/>
      <c r="L11" s="15"/>
      <c r="M11" s="15"/>
      <c r="N11" s="15"/>
      <c r="O11" s="15"/>
      <c r="P11" s="15"/>
      <c r="Q11" s="11"/>
      <c r="R11" s="11"/>
      <c r="S11" s="11"/>
      <c r="T11" s="11"/>
      <c r="U11" s="15"/>
      <c r="V11" s="11"/>
      <c r="W11" s="11"/>
      <c r="X11" s="11"/>
      <c r="Y11" s="11"/>
      <c r="Z11" s="11"/>
    </row>
    <row r="12">
      <c r="A12" s="18"/>
      <c r="B12" s="11"/>
      <c r="C12" s="11"/>
      <c r="D12" s="11"/>
      <c r="E12" s="11"/>
      <c r="F12" s="11"/>
      <c r="G12" s="11"/>
      <c r="H12" s="11"/>
      <c r="I12" s="11"/>
      <c r="J12" s="11"/>
      <c r="K12" s="11"/>
      <c r="L12" s="15"/>
      <c r="M12" s="15"/>
      <c r="N12" s="15"/>
      <c r="O12" s="15"/>
      <c r="P12" s="15"/>
      <c r="Q12" s="11"/>
      <c r="R12" s="11"/>
      <c r="S12" s="11"/>
      <c r="T12" s="11"/>
      <c r="U12" s="15"/>
      <c r="V12" s="11"/>
      <c r="W12" s="11"/>
      <c r="X12" s="11"/>
      <c r="Y12" s="11"/>
      <c r="Z12" s="11"/>
    </row>
    <row r="13">
      <c r="A13" s="18"/>
      <c r="B13" s="11"/>
      <c r="C13" s="11"/>
      <c r="D13" s="11"/>
      <c r="E13" s="11"/>
      <c r="F13" s="11"/>
      <c r="G13" s="11"/>
      <c r="H13" s="11"/>
      <c r="I13" s="11"/>
      <c r="J13" s="11"/>
      <c r="K13" s="11"/>
      <c r="L13" s="15"/>
      <c r="M13" s="15"/>
      <c r="N13" s="15"/>
      <c r="O13" s="15"/>
      <c r="P13" s="15"/>
      <c r="Q13" s="11"/>
      <c r="R13" s="11"/>
      <c r="S13" s="11"/>
      <c r="T13" s="11"/>
      <c r="U13" s="15"/>
      <c r="V13" s="11"/>
      <c r="W13" s="11"/>
      <c r="X13" s="11"/>
      <c r="Y13" s="11"/>
      <c r="Z13" s="11"/>
    </row>
    <row r="14">
      <c r="A14" s="18"/>
      <c r="B14" s="11"/>
      <c r="C14" s="11"/>
      <c r="D14" s="11"/>
      <c r="E14" s="11"/>
      <c r="F14" s="11"/>
      <c r="G14" s="11"/>
      <c r="H14" s="11"/>
      <c r="I14" s="11"/>
      <c r="J14" s="11"/>
      <c r="K14" s="11"/>
      <c r="L14" s="15"/>
      <c r="M14" s="15"/>
      <c r="N14" s="15"/>
      <c r="O14" s="15"/>
      <c r="P14" s="15"/>
      <c r="Q14" s="11"/>
      <c r="R14" s="11"/>
      <c r="S14" s="11"/>
      <c r="T14" s="11"/>
      <c r="U14" s="15"/>
      <c r="V14" s="11"/>
      <c r="W14" s="11"/>
      <c r="X14" s="11"/>
      <c r="Y14" s="11"/>
      <c r="Z14" s="11"/>
    </row>
    <row r="15">
      <c r="A15" s="18"/>
      <c r="B15" s="11"/>
      <c r="C15" s="11"/>
      <c r="D15" s="11"/>
      <c r="E15" s="11"/>
      <c r="F15" s="11"/>
      <c r="G15" s="11"/>
      <c r="H15" s="11"/>
      <c r="I15" s="11"/>
      <c r="J15" s="11"/>
      <c r="K15" s="11"/>
      <c r="L15" s="15"/>
      <c r="M15" s="15"/>
      <c r="N15" s="15"/>
      <c r="O15" s="15"/>
      <c r="P15" s="15"/>
      <c r="Q15" s="11"/>
      <c r="R15" s="11"/>
      <c r="S15" s="11"/>
      <c r="T15" s="11"/>
      <c r="U15" s="15"/>
      <c r="V15" s="11"/>
      <c r="W15" s="11"/>
      <c r="X15" s="11"/>
      <c r="Y15" s="11"/>
      <c r="Z15" s="11"/>
    </row>
    <row r="16">
      <c r="A16" s="18"/>
      <c r="B16" s="11"/>
      <c r="C16" s="11"/>
      <c r="D16" s="11"/>
      <c r="E16" s="11"/>
      <c r="F16" s="11"/>
      <c r="G16" s="11"/>
      <c r="H16" s="11"/>
      <c r="I16" s="11"/>
      <c r="J16" s="11"/>
      <c r="K16" s="11"/>
      <c r="L16" s="15"/>
      <c r="M16" s="15"/>
      <c r="N16" s="15"/>
      <c r="O16" s="15"/>
      <c r="P16" s="15"/>
      <c r="Q16" s="11"/>
      <c r="R16" s="11"/>
      <c r="S16" s="11"/>
      <c r="T16" s="11"/>
      <c r="U16" s="15"/>
      <c r="V16" s="11"/>
      <c r="W16" s="11"/>
      <c r="X16" s="11"/>
      <c r="Y16" s="11"/>
      <c r="Z16" s="11"/>
    </row>
    <row r="17">
      <c r="A17" s="18"/>
      <c r="B17" s="11"/>
      <c r="C17" s="11"/>
      <c r="D17" s="11"/>
      <c r="E17" s="11"/>
      <c r="F17" s="11"/>
      <c r="G17" s="11"/>
      <c r="H17" s="11"/>
      <c r="I17" s="11"/>
      <c r="J17" s="11"/>
      <c r="K17" s="11"/>
      <c r="L17" s="15"/>
      <c r="M17" s="15"/>
      <c r="N17" s="15"/>
      <c r="O17" s="15"/>
      <c r="P17" s="15"/>
      <c r="Q17" s="11"/>
      <c r="R17" s="11"/>
      <c r="S17" s="11"/>
      <c r="T17" s="11"/>
      <c r="U17" s="15"/>
      <c r="V17" s="11"/>
      <c r="W17" s="11"/>
      <c r="X17" s="11"/>
      <c r="Y17" s="11"/>
      <c r="Z17" s="11"/>
    </row>
    <row r="18">
      <c r="A18" s="18"/>
      <c r="B18" s="11"/>
      <c r="C18" s="11"/>
      <c r="D18" s="11"/>
      <c r="E18" s="11"/>
      <c r="F18" s="11"/>
      <c r="G18" s="11"/>
      <c r="H18" s="11"/>
      <c r="I18" s="11"/>
      <c r="J18" s="11"/>
      <c r="K18" s="11"/>
      <c r="L18" s="15"/>
      <c r="M18" s="15"/>
      <c r="N18" s="15"/>
      <c r="O18" s="15"/>
      <c r="P18" s="15"/>
      <c r="Q18" s="11"/>
      <c r="R18" s="11"/>
      <c r="S18" s="11"/>
      <c r="T18" s="11"/>
      <c r="U18" s="15"/>
      <c r="V18" s="11"/>
      <c r="W18" s="11"/>
      <c r="X18" s="11"/>
      <c r="Y18" s="11"/>
      <c r="Z18" s="11"/>
    </row>
    <row r="19">
      <c r="A19" s="18"/>
      <c r="B19" s="11"/>
      <c r="C19" s="11"/>
      <c r="D19" s="11"/>
      <c r="E19" s="11"/>
      <c r="F19" s="11"/>
      <c r="G19" s="11"/>
      <c r="H19" s="11"/>
      <c r="I19" s="11"/>
      <c r="J19" s="11"/>
      <c r="K19" s="11"/>
      <c r="L19" s="15"/>
      <c r="M19" s="15"/>
      <c r="N19" s="15"/>
      <c r="O19" s="15"/>
      <c r="P19" s="15"/>
      <c r="Q19" s="11"/>
      <c r="R19" s="11"/>
      <c r="S19" s="11"/>
      <c r="T19" s="11"/>
      <c r="U19" s="15"/>
      <c r="V19" s="11"/>
      <c r="W19" s="11"/>
      <c r="X19" s="11"/>
      <c r="Y19" s="11"/>
      <c r="Z19" s="11"/>
    </row>
    <row r="20">
      <c r="A20" s="18"/>
      <c r="B20" s="11"/>
      <c r="C20" s="11"/>
      <c r="D20" s="11"/>
      <c r="E20" s="11"/>
      <c r="F20" s="11"/>
      <c r="G20" s="11"/>
      <c r="H20" s="11"/>
      <c r="I20" s="11"/>
      <c r="J20" s="11"/>
      <c r="K20" s="11"/>
      <c r="L20" s="15"/>
      <c r="M20" s="15"/>
      <c r="N20" s="15"/>
      <c r="O20" s="15"/>
      <c r="P20" s="15"/>
      <c r="Q20" s="11"/>
      <c r="R20" s="11"/>
      <c r="S20" s="11"/>
      <c r="T20" s="11"/>
      <c r="U20" s="15"/>
      <c r="V20" s="11"/>
      <c r="W20" s="11"/>
      <c r="X20" s="11"/>
      <c r="Y20" s="11"/>
      <c r="Z20" s="11"/>
    </row>
    <row r="21">
      <c r="A21" s="18"/>
      <c r="B21" s="11"/>
      <c r="C21" s="11"/>
      <c r="D21" s="11"/>
      <c r="E21" s="11"/>
      <c r="F21" s="11"/>
      <c r="G21" s="11"/>
      <c r="H21" s="11"/>
      <c r="I21" s="11"/>
      <c r="J21" s="11"/>
      <c r="K21" s="11"/>
      <c r="L21" s="15"/>
      <c r="M21" s="15"/>
      <c r="N21" s="15"/>
      <c r="O21" s="15"/>
      <c r="P21" s="15"/>
      <c r="Q21" s="11"/>
      <c r="R21" s="11"/>
      <c r="S21" s="11"/>
      <c r="T21" s="11"/>
      <c r="U21" s="15"/>
      <c r="V21" s="11"/>
      <c r="W21" s="11"/>
      <c r="X21" s="11"/>
      <c r="Y21" s="11"/>
      <c r="Z21" s="11"/>
    </row>
    <row r="22">
      <c r="A22" s="18"/>
      <c r="B22" s="11"/>
      <c r="C22" s="11"/>
      <c r="D22" s="11"/>
      <c r="E22" s="11"/>
      <c r="F22" s="11"/>
      <c r="G22" s="11"/>
      <c r="H22" s="11"/>
      <c r="I22" s="11"/>
      <c r="J22" s="11"/>
      <c r="K22" s="11"/>
      <c r="L22" s="15"/>
      <c r="M22" s="15"/>
      <c r="N22" s="15"/>
      <c r="O22" s="15"/>
      <c r="P22" s="15"/>
      <c r="Q22" s="11"/>
      <c r="R22" s="11"/>
      <c r="S22" s="11"/>
      <c r="T22" s="11"/>
      <c r="U22" s="15"/>
      <c r="V22" s="11"/>
      <c r="W22" s="11"/>
      <c r="X22" s="11"/>
      <c r="Y22" s="11"/>
      <c r="Z22" s="11"/>
    </row>
    <row r="23">
      <c r="A23" s="18"/>
      <c r="B23" s="11"/>
      <c r="C23" s="11"/>
      <c r="D23" s="11"/>
      <c r="E23" s="11"/>
      <c r="F23" s="11"/>
      <c r="G23" s="11"/>
      <c r="H23" s="11"/>
      <c r="I23" s="11"/>
      <c r="J23" s="11"/>
      <c r="K23" s="11"/>
      <c r="L23" s="15"/>
      <c r="M23" s="15"/>
      <c r="N23" s="15"/>
      <c r="O23" s="15"/>
      <c r="P23" s="15"/>
      <c r="Q23" s="11"/>
      <c r="R23" s="11"/>
      <c r="S23" s="11"/>
      <c r="T23" s="11"/>
      <c r="U23" s="15"/>
      <c r="V23" s="11"/>
      <c r="W23" s="11"/>
      <c r="X23" s="11"/>
      <c r="Y23" s="11"/>
      <c r="Z23" s="11"/>
    </row>
    <row r="24">
      <c r="A24" s="18"/>
      <c r="B24" s="11"/>
      <c r="C24" s="11"/>
      <c r="D24" s="11"/>
      <c r="E24" s="11"/>
      <c r="F24" s="11"/>
      <c r="G24" s="11"/>
      <c r="H24" s="11"/>
      <c r="I24" s="11"/>
      <c r="J24" s="11"/>
      <c r="K24" s="11"/>
      <c r="L24" s="15"/>
      <c r="M24" s="15"/>
      <c r="N24" s="15"/>
      <c r="O24" s="15"/>
      <c r="P24" s="15"/>
      <c r="Q24" s="11"/>
      <c r="R24" s="11"/>
      <c r="S24" s="11"/>
      <c r="T24" s="11"/>
      <c r="U24" s="15"/>
      <c r="V24" s="11"/>
      <c r="W24" s="11"/>
      <c r="X24" s="11"/>
      <c r="Y24" s="11"/>
      <c r="Z24" s="11"/>
    </row>
    <row r="25">
      <c r="A25" s="18"/>
      <c r="B25" s="11"/>
      <c r="C25" s="11"/>
      <c r="D25" s="11"/>
      <c r="E25" s="11"/>
      <c r="F25" s="11"/>
      <c r="G25" s="11"/>
      <c r="H25" s="11"/>
      <c r="I25" s="11"/>
      <c r="J25" s="11"/>
      <c r="K25" s="11"/>
      <c r="L25" s="15"/>
      <c r="M25" s="15"/>
      <c r="N25" s="15"/>
      <c r="O25" s="15"/>
      <c r="P25" s="15"/>
      <c r="Q25" s="11"/>
      <c r="R25" s="11"/>
      <c r="S25" s="11"/>
      <c r="T25" s="11"/>
      <c r="U25" s="15"/>
      <c r="V25" s="11"/>
      <c r="W25" s="11"/>
      <c r="X25" s="11"/>
      <c r="Y25" s="11"/>
      <c r="Z25" s="11"/>
    </row>
    <row r="26">
      <c r="A26" s="18"/>
      <c r="B26" s="11"/>
      <c r="C26" s="11"/>
      <c r="D26" s="11"/>
      <c r="E26" s="11"/>
      <c r="F26" s="11"/>
      <c r="G26" s="11"/>
      <c r="H26" s="11"/>
      <c r="I26" s="11"/>
      <c r="J26" s="11"/>
      <c r="K26" s="11"/>
      <c r="L26" s="15"/>
      <c r="M26" s="15"/>
      <c r="N26" s="15"/>
      <c r="O26" s="15"/>
      <c r="P26" s="15"/>
      <c r="Q26" s="11"/>
      <c r="R26" s="11"/>
      <c r="S26" s="11"/>
      <c r="T26" s="11"/>
      <c r="U26" s="15"/>
      <c r="V26" s="11"/>
      <c r="W26" s="11"/>
      <c r="X26" s="11"/>
      <c r="Y26" s="11"/>
      <c r="Z26" s="11"/>
    </row>
    <row r="27">
      <c r="A27" s="18"/>
      <c r="B27" s="11"/>
      <c r="C27" s="11"/>
      <c r="D27" s="11"/>
      <c r="E27" s="11"/>
      <c r="F27" s="11"/>
      <c r="G27" s="11"/>
      <c r="H27" s="11"/>
      <c r="I27" s="11"/>
      <c r="J27" s="11"/>
      <c r="K27" s="11"/>
      <c r="L27" s="15"/>
      <c r="M27" s="15"/>
      <c r="N27" s="15"/>
      <c r="O27" s="15"/>
      <c r="P27" s="15"/>
      <c r="Q27" s="11"/>
      <c r="R27" s="11"/>
      <c r="S27" s="11"/>
      <c r="T27" s="11"/>
      <c r="U27" s="15"/>
      <c r="V27" s="11"/>
      <c r="W27" s="11"/>
      <c r="X27" s="11"/>
      <c r="Y27" s="11"/>
      <c r="Z27" s="11"/>
    </row>
    <row r="28">
      <c r="A28" s="18"/>
      <c r="B28" s="11"/>
      <c r="C28" s="11"/>
      <c r="D28" s="11"/>
      <c r="E28" s="11"/>
      <c r="F28" s="11"/>
      <c r="G28" s="11"/>
      <c r="H28" s="11"/>
      <c r="I28" s="11"/>
      <c r="J28" s="11"/>
      <c r="K28" s="11"/>
      <c r="L28" s="15"/>
      <c r="M28" s="15"/>
      <c r="N28" s="15"/>
      <c r="O28" s="15"/>
      <c r="P28" s="15"/>
      <c r="Q28" s="11"/>
      <c r="R28" s="11"/>
      <c r="S28" s="11"/>
      <c r="T28" s="11"/>
      <c r="U28" s="15"/>
      <c r="V28" s="11"/>
      <c r="W28" s="11"/>
      <c r="X28" s="11"/>
      <c r="Y28" s="11"/>
      <c r="Z28" s="11"/>
    </row>
    <row r="29">
      <c r="A29" s="18"/>
      <c r="B29" s="11"/>
      <c r="C29" s="11"/>
      <c r="D29" s="11"/>
      <c r="E29" s="11"/>
      <c r="F29" s="11"/>
      <c r="G29" s="11"/>
      <c r="H29" s="11"/>
      <c r="I29" s="11"/>
      <c r="J29" s="11"/>
      <c r="K29" s="11"/>
      <c r="L29" s="15"/>
      <c r="M29" s="15"/>
      <c r="N29" s="15"/>
      <c r="O29" s="15"/>
      <c r="P29" s="15"/>
      <c r="Q29" s="11"/>
      <c r="R29" s="11"/>
      <c r="S29" s="11"/>
      <c r="T29" s="11"/>
      <c r="U29" s="15"/>
      <c r="V29" s="11"/>
      <c r="W29" s="11"/>
      <c r="X29" s="11"/>
      <c r="Y29" s="11"/>
      <c r="Z29" s="11"/>
    </row>
    <row r="30">
      <c r="A30" s="18"/>
      <c r="B30" s="11"/>
      <c r="C30" s="11"/>
      <c r="D30" s="11"/>
      <c r="E30" s="11"/>
      <c r="F30" s="11"/>
      <c r="G30" s="11"/>
      <c r="H30" s="11"/>
      <c r="I30" s="11"/>
      <c r="J30" s="11"/>
      <c r="K30" s="11"/>
      <c r="L30" s="15"/>
      <c r="M30" s="15"/>
      <c r="N30" s="15"/>
      <c r="O30" s="15"/>
      <c r="P30" s="15"/>
      <c r="Q30" s="11"/>
      <c r="R30" s="11"/>
      <c r="S30" s="11"/>
      <c r="T30" s="11"/>
      <c r="U30" s="15"/>
      <c r="V30" s="11"/>
      <c r="W30" s="11"/>
      <c r="X30" s="11"/>
      <c r="Y30" s="11"/>
      <c r="Z30" s="11"/>
    </row>
    <row r="31">
      <c r="A31" s="18"/>
      <c r="B31" s="11"/>
      <c r="C31" s="11"/>
      <c r="D31" s="11"/>
      <c r="E31" s="11"/>
      <c r="F31" s="11"/>
      <c r="G31" s="11"/>
      <c r="H31" s="11"/>
      <c r="I31" s="11"/>
      <c r="J31" s="11"/>
      <c r="K31" s="11"/>
      <c r="L31" s="15"/>
      <c r="M31" s="15"/>
      <c r="N31" s="15"/>
      <c r="O31" s="15"/>
      <c r="P31" s="15"/>
      <c r="Q31" s="11"/>
      <c r="R31" s="11"/>
      <c r="S31" s="11"/>
      <c r="T31" s="11"/>
      <c r="U31" s="15"/>
      <c r="V31" s="11"/>
      <c r="W31" s="11"/>
      <c r="X31" s="11"/>
      <c r="Y31" s="11"/>
      <c r="Z31" s="11"/>
    </row>
    <row r="32">
      <c r="A32" s="18"/>
      <c r="B32" s="11"/>
      <c r="C32" s="11"/>
      <c r="D32" s="11"/>
      <c r="E32" s="11"/>
      <c r="F32" s="11"/>
      <c r="G32" s="11"/>
      <c r="H32" s="11"/>
      <c r="I32" s="11"/>
      <c r="J32" s="11"/>
      <c r="K32" s="11"/>
      <c r="L32" s="15"/>
      <c r="M32" s="15"/>
      <c r="N32" s="15"/>
      <c r="O32" s="15"/>
      <c r="P32" s="15"/>
      <c r="Q32" s="11"/>
      <c r="R32" s="11"/>
      <c r="S32" s="11"/>
      <c r="T32" s="11"/>
      <c r="U32" s="15"/>
      <c r="V32" s="11"/>
      <c r="W32" s="11"/>
      <c r="X32" s="11"/>
      <c r="Y32" s="11"/>
      <c r="Z32" s="11"/>
    </row>
    <row r="33">
      <c r="A33" s="18"/>
      <c r="B33" s="11"/>
      <c r="C33" s="11"/>
      <c r="D33" s="11"/>
      <c r="E33" s="11"/>
      <c r="F33" s="11"/>
      <c r="G33" s="11"/>
      <c r="H33" s="11"/>
      <c r="I33" s="11"/>
      <c r="J33" s="11"/>
      <c r="K33" s="11"/>
      <c r="L33" s="15"/>
      <c r="M33" s="15"/>
      <c r="N33" s="15"/>
      <c r="O33" s="15"/>
      <c r="P33" s="15"/>
      <c r="Q33" s="11"/>
      <c r="R33" s="11"/>
      <c r="S33" s="11"/>
      <c r="T33" s="11"/>
      <c r="U33" s="15"/>
      <c r="V33" s="11"/>
      <c r="W33" s="11"/>
      <c r="X33" s="11"/>
      <c r="Y33" s="11"/>
      <c r="Z33" s="11"/>
    </row>
    <row r="34">
      <c r="A34" s="18"/>
      <c r="B34" s="11"/>
      <c r="C34" s="11"/>
      <c r="D34" s="11"/>
      <c r="E34" s="11"/>
      <c r="F34" s="11"/>
      <c r="G34" s="11"/>
      <c r="H34" s="11"/>
      <c r="I34" s="11"/>
      <c r="J34" s="11"/>
      <c r="K34" s="11"/>
      <c r="L34" s="15"/>
      <c r="M34" s="15"/>
      <c r="N34" s="15"/>
      <c r="O34" s="15"/>
      <c r="P34" s="15"/>
      <c r="Q34" s="11"/>
      <c r="R34" s="11"/>
      <c r="S34" s="11"/>
      <c r="T34" s="11"/>
      <c r="U34" s="15"/>
      <c r="V34" s="11"/>
      <c r="W34" s="11"/>
      <c r="X34" s="11"/>
      <c r="Y34" s="11"/>
      <c r="Z34" s="11"/>
    </row>
    <row r="35">
      <c r="A35" s="18"/>
      <c r="B35" s="11"/>
      <c r="C35" s="11"/>
      <c r="D35" s="11"/>
      <c r="E35" s="11"/>
      <c r="F35" s="11"/>
      <c r="G35" s="11"/>
      <c r="H35" s="11"/>
      <c r="I35" s="11"/>
      <c r="J35" s="11"/>
      <c r="K35" s="11"/>
      <c r="L35" s="15"/>
      <c r="M35" s="15"/>
      <c r="N35" s="15"/>
      <c r="O35" s="15"/>
      <c r="P35" s="15"/>
      <c r="Q35" s="11"/>
      <c r="R35" s="11"/>
      <c r="S35" s="11"/>
      <c r="T35" s="11"/>
      <c r="U35" s="15"/>
      <c r="V35" s="11"/>
      <c r="W35" s="11"/>
      <c r="X35" s="11"/>
      <c r="Y35" s="11"/>
      <c r="Z35" s="11"/>
    </row>
    <row r="36">
      <c r="A36" s="18"/>
      <c r="B36" s="11"/>
      <c r="C36" s="11"/>
      <c r="D36" s="11"/>
      <c r="E36" s="11"/>
      <c r="F36" s="11"/>
      <c r="G36" s="11"/>
      <c r="H36" s="11"/>
      <c r="I36" s="11"/>
      <c r="J36" s="11"/>
      <c r="K36" s="11"/>
      <c r="L36" s="15"/>
      <c r="M36" s="15"/>
      <c r="N36" s="15"/>
      <c r="O36" s="15"/>
      <c r="P36" s="15"/>
      <c r="Q36" s="11"/>
      <c r="R36" s="11"/>
      <c r="S36" s="11"/>
      <c r="T36" s="11"/>
      <c r="U36" s="15"/>
      <c r="V36" s="11"/>
      <c r="W36" s="11"/>
      <c r="X36" s="11"/>
      <c r="Y36" s="11"/>
      <c r="Z36" s="11"/>
    </row>
    <row r="37">
      <c r="A37" s="18"/>
      <c r="B37" s="11"/>
      <c r="C37" s="11"/>
      <c r="D37" s="11"/>
      <c r="E37" s="11"/>
      <c r="F37" s="11"/>
      <c r="G37" s="11"/>
      <c r="H37" s="11"/>
      <c r="I37" s="11"/>
      <c r="J37" s="11"/>
      <c r="K37" s="11"/>
      <c r="L37" s="15"/>
      <c r="M37" s="15"/>
      <c r="N37" s="15"/>
      <c r="O37" s="15"/>
      <c r="P37" s="15"/>
      <c r="Q37" s="11"/>
      <c r="R37" s="11"/>
      <c r="S37" s="11"/>
      <c r="T37" s="11"/>
      <c r="U37" s="15"/>
      <c r="V37" s="11"/>
      <c r="W37" s="11"/>
      <c r="X37" s="11"/>
      <c r="Y37" s="11"/>
      <c r="Z37" s="11"/>
    </row>
    <row r="38">
      <c r="A38" s="18"/>
      <c r="B38" s="11"/>
      <c r="C38" s="11"/>
      <c r="D38" s="11"/>
      <c r="E38" s="11"/>
      <c r="F38" s="11"/>
      <c r="G38" s="11"/>
      <c r="H38" s="11"/>
      <c r="I38" s="11"/>
      <c r="J38" s="11"/>
      <c r="K38" s="11"/>
      <c r="L38" s="15"/>
      <c r="M38" s="15"/>
      <c r="N38" s="15"/>
      <c r="O38" s="15"/>
      <c r="P38" s="15"/>
      <c r="Q38" s="11"/>
      <c r="R38" s="11"/>
      <c r="S38" s="11"/>
      <c r="T38" s="11"/>
      <c r="U38" s="15"/>
      <c r="V38" s="11"/>
      <c r="W38" s="11"/>
      <c r="X38" s="11"/>
      <c r="Y38" s="11"/>
      <c r="Z38" s="11"/>
    </row>
    <row r="39">
      <c r="A39" s="18"/>
      <c r="B39" s="11"/>
      <c r="C39" s="11"/>
      <c r="D39" s="11"/>
      <c r="E39" s="11"/>
      <c r="F39" s="11"/>
      <c r="G39" s="11"/>
      <c r="H39" s="11"/>
      <c r="I39" s="11"/>
      <c r="J39" s="11"/>
      <c r="K39" s="11"/>
      <c r="L39" s="15"/>
      <c r="M39" s="15"/>
      <c r="N39" s="15"/>
      <c r="O39" s="15"/>
      <c r="P39" s="15"/>
      <c r="Q39" s="11"/>
      <c r="R39" s="11"/>
      <c r="S39" s="11"/>
      <c r="T39" s="11"/>
      <c r="U39" s="15"/>
      <c r="V39" s="11"/>
      <c r="W39" s="11"/>
      <c r="X39" s="11"/>
      <c r="Y39" s="11"/>
      <c r="Z39" s="11"/>
    </row>
    <row r="40">
      <c r="A40" s="18"/>
      <c r="B40" s="11"/>
      <c r="C40" s="11"/>
      <c r="D40" s="11"/>
      <c r="E40" s="11"/>
      <c r="F40" s="11"/>
      <c r="G40" s="11"/>
      <c r="H40" s="11"/>
      <c r="I40" s="11"/>
      <c r="J40" s="11"/>
      <c r="K40" s="11"/>
      <c r="L40" s="15"/>
      <c r="M40" s="15"/>
      <c r="N40" s="15"/>
      <c r="O40" s="15"/>
      <c r="P40" s="15"/>
      <c r="Q40" s="11"/>
      <c r="R40" s="11"/>
      <c r="S40" s="11"/>
      <c r="T40" s="11"/>
      <c r="U40" s="15"/>
      <c r="V40" s="11"/>
      <c r="W40" s="11"/>
      <c r="X40" s="11"/>
      <c r="Y40" s="11"/>
      <c r="Z40" s="11"/>
    </row>
    <row r="41">
      <c r="A41" s="18"/>
      <c r="B41" s="11"/>
      <c r="C41" s="11"/>
      <c r="D41" s="11"/>
      <c r="E41" s="11"/>
      <c r="F41" s="11"/>
      <c r="G41" s="11"/>
      <c r="H41" s="11"/>
      <c r="I41" s="11"/>
      <c r="J41" s="11"/>
      <c r="K41" s="11"/>
      <c r="L41" s="15"/>
      <c r="M41" s="15"/>
      <c r="N41" s="15"/>
      <c r="O41" s="15"/>
      <c r="P41" s="15"/>
      <c r="Q41" s="11"/>
      <c r="R41" s="11"/>
      <c r="S41" s="11"/>
      <c r="T41" s="11"/>
      <c r="U41" s="15"/>
      <c r="V41" s="11"/>
      <c r="W41" s="11"/>
      <c r="X41" s="11"/>
      <c r="Y41" s="11"/>
      <c r="Z41" s="11"/>
    </row>
    <row r="42">
      <c r="A42" s="18"/>
      <c r="B42" s="11"/>
      <c r="C42" s="11"/>
      <c r="D42" s="11"/>
      <c r="E42" s="11"/>
      <c r="F42" s="11"/>
      <c r="G42" s="11"/>
      <c r="H42" s="11"/>
      <c r="I42" s="11"/>
      <c r="J42" s="11"/>
      <c r="K42" s="11"/>
      <c r="L42" s="15"/>
      <c r="M42" s="15"/>
      <c r="N42" s="15"/>
      <c r="O42" s="15"/>
      <c r="P42" s="15"/>
      <c r="Q42" s="11"/>
      <c r="R42" s="11"/>
      <c r="S42" s="11"/>
      <c r="T42" s="11"/>
      <c r="U42" s="15"/>
      <c r="V42" s="11"/>
      <c r="W42" s="11"/>
      <c r="X42" s="11"/>
      <c r="Y42" s="11"/>
      <c r="Z42" s="11"/>
    </row>
    <row r="43">
      <c r="A43" s="18"/>
      <c r="B43" s="11"/>
      <c r="C43" s="11"/>
      <c r="D43" s="11"/>
      <c r="E43" s="11"/>
      <c r="F43" s="11"/>
      <c r="G43" s="11"/>
      <c r="H43" s="11"/>
      <c r="I43" s="11"/>
      <c r="J43" s="11"/>
      <c r="K43" s="11"/>
      <c r="L43" s="15"/>
      <c r="M43" s="15"/>
      <c r="N43" s="15"/>
      <c r="O43" s="15"/>
      <c r="P43" s="15"/>
      <c r="Q43" s="11"/>
      <c r="R43" s="11"/>
      <c r="S43" s="11"/>
      <c r="T43" s="11"/>
      <c r="U43" s="15"/>
      <c r="V43" s="11"/>
      <c r="W43" s="11"/>
      <c r="X43" s="11"/>
      <c r="Y43" s="11"/>
      <c r="Z43" s="11"/>
    </row>
    <row r="44">
      <c r="A44" s="18"/>
      <c r="B44" s="11"/>
      <c r="C44" s="11"/>
      <c r="D44" s="11"/>
      <c r="E44" s="11"/>
      <c r="F44" s="11"/>
      <c r="G44" s="11"/>
      <c r="H44" s="11"/>
      <c r="I44" s="11"/>
      <c r="J44" s="11"/>
      <c r="K44" s="11"/>
      <c r="L44" s="15"/>
      <c r="M44" s="15"/>
      <c r="N44" s="15"/>
      <c r="O44" s="15"/>
      <c r="P44" s="15"/>
      <c r="Q44" s="11"/>
      <c r="R44" s="11"/>
      <c r="S44" s="11"/>
      <c r="T44" s="11"/>
      <c r="U44" s="15"/>
      <c r="V44" s="11"/>
      <c r="W44" s="11"/>
      <c r="X44" s="11"/>
      <c r="Y44" s="11"/>
      <c r="Z44" s="11"/>
    </row>
    <row r="45">
      <c r="A45" s="18"/>
      <c r="B45" s="11"/>
      <c r="C45" s="11"/>
      <c r="D45" s="11"/>
      <c r="E45" s="11"/>
      <c r="F45" s="11"/>
      <c r="G45" s="11"/>
      <c r="H45" s="11"/>
      <c r="I45" s="11"/>
      <c r="J45" s="11"/>
      <c r="K45" s="11"/>
      <c r="L45" s="15"/>
      <c r="M45" s="15"/>
      <c r="N45" s="15"/>
      <c r="O45" s="15"/>
      <c r="P45" s="15"/>
      <c r="Q45" s="11"/>
      <c r="R45" s="11"/>
      <c r="S45" s="11"/>
      <c r="T45" s="11"/>
      <c r="U45" s="15"/>
      <c r="V45" s="11"/>
      <c r="W45" s="11"/>
      <c r="X45" s="11"/>
      <c r="Y45" s="11"/>
      <c r="Z45" s="11"/>
    </row>
    <row r="46">
      <c r="A46" s="18"/>
      <c r="B46" s="11"/>
      <c r="C46" s="11"/>
      <c r="D46" s="11"/>
      <c r="E46" s="11"/>
      <c r="F46" s="11"/>
      <c r="G46" s="11"/>
      <c r="H46" s="11"/>
      <c r="I46" s="11"/>
      <c r="J46" s="11"/>
      <c r="K46" s="11"/>
      <c r="L46" s="15"/>
      <c r="M46" s="15"/>
      <c r="N46" s="15"/>
      <c r="O46" s="15"/>
      <c r="P46" s="15"/>
      <c r="Q46" s="11"/>
      <c r="R46" s="11"/>
      <c r="S46" s="11"/>
      <c r="T46" s="11"/>
      <c r="U46" s="15"/>
      <c r="V46" s="11"/>
      <c r="W46" s="11"/>
      <c r="X46" s="11"/>
      <c r="Y46" s="11"/>
      <c r="Z46" s="11"/>
    </row>
    <row r="47">
      <c r="A47" s="18"/>
      <c r="B47" s="11"/>
      <c r="C47" s="11"/>
      <c r="D47" s="11"/>
      <c r="E47" s="11"/>
      <c r="F47" s="11"/>
      <c r="G47" s="11"/>
      <c r="H47" s="11"/>
      <c r="I47" s="11"/>
      <c r="J47" s="11"/>
      <c r="K47" s="11"/>
      <c r="L47" s="15"/>
      <c r="M47" s="15"/>
      <c r="N47" s="15"/>
      <c r="O47" s="15"/>
      <c r="P47" s="15"/>
      <c r="Q47" s="11"/>
      <c r="R47" s="11"/>
      <c r="S47" s="11"/>
      <c r="T47" s="11"/>
      <c r="U47" s="15"/>
      <c r="V47" s="11"/>
      <c r="W47" s="11"/>
      <c r="X47" s="11"/>
      <c r="Y47" s="11"/>
      <c r="Z47" s="11"/>
    </row>
    <row r="48">
      <c r="A48" s="18"/>
      <c r="B48" s="11"/>
      <c r="C48" s="11"/>
      <c r="D48" s="11"/>
      <c r="E48" s="11"/>
      <c r="F48" s="11"/>
      <c r="G48" s="11"/>
      <c r="H48" s="11"/>
      <c r="I48" s="11"/>
      <c r="J48" s="11"/>
      <c r="K48" s="11"/>
      <c r="L48" s="15"/>
      <c r="M48" s="15"/>
      <c r="N48" s="15"/>
      <c r="O48" s="15"/>
      <c r="P48" s="15"/>
      <c r="Q48" s="11"/>
      <c r="R48" s="11"/>
      <c r="S48" s="11"/>
      <c r="T48" s="11"/>
      <c r="U48" s="15"/>
      <c r="V48" s="11"/>
      <c r="W48" s="11"/>
      <c r="X48" s="11"/>
      <c r="Y48" s="11"/>
      <c r="Z48" s="11"/>
    </row>
    <row r="49">
      <c r="A49" s="18"/>
      <c r="B49" s="11"/>
      <c r="C49" s="11"/>
      <c r="D49" s="11"/>
      <c r="E49" s="11"/>
      <c r="F49" s="11"/>
      <c r="G49" s="11"/>
      <c r="H49" s="11"/>
      <c r="I49" s="11"/>
      <c r="J49" s="11"/>
      <c r="K49" s="11"/>
      <c r="L49" s="15"/>
      <c r="M49" s="15"/>
      <c r="N49" s="15"/>
      <c r="O49" s="15"/>
      <c r="P49" s="15"/>
      <c r="Q49" s="11"/>
      <c r="R49" s="11"/>
      <c r="S49" s="11"/>
      <c r="T49" s="11"/>
      <c r="U49" s="15"/>
      <c r="V49" s="11"/>
      <c r="W49" s="11"/>
      <c r="X49" s="11"/>
      <c r="Y49" s="11"/>
      <c r="Z49" s="11"/>
    </row>
    <row r="50">
      <c r="A50" s="18"/>
      <c r="B50" s="11"/>
      <c r="C50" s="11"/>
      <c r="D50" s="11"/>
      <c r="E50" s="11"/>
      <c r="F50" s="11"/>
      <c r="G50" s="11"/>
      <c r="H50" s="11"/>
      <c r="I50" s="11"/>
      <c r="J50" s="11"/>
      <c r="K50" s="11"/>
      <c r="L50" s="15"/>
      <c r="M50" s="15"/>
      <c r="N50" s="15"/>
      <c r="O50" s="15"/>
      <c r="P50" s="15"/>
      <c r="Q50" s="11"/>
      <c r="R50" s="11"/>
      <c r="S50" s="11"/>
      <c r="T50" s="11"/>
      <c r="U50" s="15"/>
      <c r="V50" s="11"/>
      <c r="W50" s="11"/>
      <c r="X50" s="11"/>
      <c r="Y50" s="11"/>
      <c r="Z50" s="11"/>
    </row>
    <row r="51">
      <c r="A51" s="18"/>
      <c r="B51" s="11"/>
      <c r="C51" s="11"/>
      <c r="D51" s="11"/>
      <c r="E51" s="11"/>
      <c r="F51" s="11"/>
      <c r="G51" s="11"/>
      <c r="H51" s="11"/>
      <c r="I51" s="11"/>
      <c r="J51" s="11"/>
      <c r="K51" s="11"/>
      <c r="L51" s="15"/>
      <c r="M51" s="15"/>
      <c r="N51" s="15"/>
      <c r="O51" s="15"/>
      <c r="P51" s="15"/>
      <c r="Q51" s="11"/>
      <c r="R51" s="11"/>
      <c r="S51" s="11"/>
      <c r="T51" s="11"/>
      <c r="U51" s="15"/>
      <c r="V51" s="11"/>
      <c r="W51" s="11"/>
      <c r="X51" s="11"/>
      <c r="Y51" s="11"/>
      <c r="Z51" s="11"/>
    </row>
    <row r="52">
      <c r="A52" s="18"/>
      <c r="B52" s="11"/>
      <c r="C52" s="11"/>
      <c r="D52" s="11"/>
      <c r="E52" s="11"/>
      <c r="F52" s="11"/>
      <c r="G52" s="11"/>
      <c r="H52" s="11"/>
      <c r="I52" s="11"/>
      <c r="J52" s="11"/>
      <c r="K52" s="11"/>
      <c r="L52" s="15"/>
      <c r="M52" s="15"/>
      <c r="N52" s="15"/>
      <c r="O52" s="15"/>
      <c r="P52" s="15"/>
      <c r="Q52" s="11"/>
      <c r="R52" s="11"/>
      <c r="S52" s="11"/>
      <c r="T52" s="11"/>
      <c r="U52" s="15"/>
      <c r="V52" s="11"/>
      <c r="W52" s="11"/>
      <c r="X52" s="11"/>
      <c r="Y52" s="11"/>
      <c r="Z52" s="11"/>
    </row>
    <row r="53">
      <c r="A53" s="18"/>
      <c r="B53" s="11"/>
      <c r="C53" s="11"/>
      <c r="D53" s="11"/>
      <c r="E53" s="11"/>
      <c r="F53" s="11"/>
      <c r="G53" s="11"/>
      <c r="H53" s="11"/>
      <c r="I53" s="11"/>
      <c r="J53" s="11"/>
      <c r="K53" s="11"/>
      <c r="L53" s="15"/>
      <c r="M53" s="15"/>
      <c r="N53" s="15"/>
      <c r="O53" s="15"/>
      <c r="P53" s="15"/>
      <c r="Q53" s="11"/>
      <c r="R53" s="11"/>
      <c r="S53" s="11"/>
      <c r="T53" s="11"/>
      <c r="U53" s="15"/>
      <c r="V53" s="11"/>
      <c r="W53" s="11"/>
      <c r="X53" s="11"/>
      <c r="Y53" s="11"/>
      <c r="Z53" s="11"/>
    </row>
    <row r="54">
      <c r="A54" s="18"/>
      <c r="B54" s="11"/>
      <c r="C54" s="11"/>
      <c r="D54" s="11"/>
      <c r="E54" s="11"/>
      <c r="F54" s="11"/>
      <c r="G54" s="11"/>
      <c r="H54" s="11"/>
      <c r="I54" s="11"/>
      <c r="J54" s="11"/>
      <c r="K54" s="11"/>
      <c r="L54" s="15"/>
      <c r="M54" s="15"/>
      <c r="N54" s="15"/>
      <c r="O54" s="15"/>
      <c r="P54" s="15"/>
      <c r="Q54" s="11"/>
      <c r="R54" s="11"/>
      <c r="S54" s="11"/>
      <c r="T54" s="11"/>
      <c r="U54" s="15"/>
      <c r="V54" s="11"/>
      <c r="W54" s="11"/>
      <c r="X54" s="11"/>
      <c r="Y54" s="11"/>
      <c r="Z54" s="11"/>
    </row>
    <row r="55">
      <c r="A55" s="18"/>
      <c r="B55" s="11"/>
      <c r="C55" s="11"/>
      <c r="D55" s="11"/>
      <c r="E55" s="11"/>
      <c r="F55" s="11"/>
      <c r="G55" s="11"/>
      <c r="H55" s="11"/>
      <c r="I55" s="11"/>
      <c r="J55" s="11"/>
      <c r="K55" s="11"/>
      <c r="L55" s="15"/>
      <c r="M55" s="15"/>
      <c r="N55" s="15"/>
      <c r="O55" s="15"/>
      <c r="P55" s="15"/>
      <c r="Q55" s="11"/>
      <c r="R55" s="11"/>
      <c r="S55" s="11"/>
      <c r="T55" s="11"/>
      <c r="U55" s="15"/>
      <c r="V55" s="11"/>
      <c r="W55" s="11"/>
      <c r="X55" s="11"/>
      <c r="Y55" s="11"/>
      <c r="Z55" s="11"/>
    </row>
    <row r="56">
      <c r="A56" s="18"/>
      <c r="B56" s="11"/>
      <c r="C56" s="11"/>
      <c r="D56" s="11"/>
      <c r="E56" s="11"/>
      <c r="F56" s="11"/>
      <c r="G56" s="11"/>
      <c r="H56" s="11"/>
      <c r="I56" s="11"/>
      <c r="J56" s="11"/>
      <c r="K56" s="11"/>
      <c r="L56" s="15"/>
      <c r="M56" s="15"/>
      <c r="N56" s="15"/>
      <c r="O56" s="15"/>
      <c r="P56" s="15"/>
      <c r="Q56" s="11"/>
      <c r="R56" s="11"/>
      <c r="S56" s="11"/>
      <c r="T56" s="11"/>
      <c r="U56" s="15"/>
      <c r="V56" s="11"/>
      <c r="W56" s="11"/>
      <c r="X56" s="11"/>
      <c r="Y56" s="11"/>
      <c r="Z56" s="11"/>
    </row>
    <row r="57">
      <c r="A57" s="18"/>
      <c r="B57" s="11"/>
      <c r="C57" s="11"/>
      <c r="D57" s="11"/>
      <c r="E57" s="11"/>
      <c r="F57" s="11"/>
      <c r="G57" s="11"/>
      <c r="H57" s="11"/>
      <c r="I57" s="11"/>
      <c r="J57" s="11"/>
      <c r="K57" s="11"/>
      <c r="L57" s="15"/>
      <c r="M57" s="15"/>
      <c r="N57" s="15"/>
      <c r="O57" s="15"/>
      <c r="P57" s="15"/>
      <c r="Q57" s="11"/>
      <c r="R57" s="11"/>
      <c r="S57" s="11"/>
      <c r="T57" s="11"/>
      <c r="U57" s="15"/>
      <c r="V57" s="11"/>
      <c r="W57" s="11"/>
      <c r="X57" s="11"/>
      <c r="Y57" s="11"/>
      <c r="Z57" s="11"/>
    </row>
    <row r="58">
      <c r="A58" s="18"/>
      <c r="B58" s="11"/>
      <c r="C58" s="11"/>
      <c r="D58" s="11"/>
      <c r="E58" s="11"/>
      <c r="F58" s="11"/>
      <c r="G58" s="11"/>
      <c r="H58" s="11"/>
      <c r="I58" s="11"/>
      <c r="J58" s="11"/>
      <c r="K58" s="11"/>
      <c r="L58" s="15"/>
      <c r="M58" s="15"/>
      <c r="N58" s="15"/>
      <c r="O58" s="15"/>
      <c r="P58" s="15"/>
      <c r="Q58" s="11"/>
      <c r="R58" s="11"/>
      <c r="S58" s="11"/>
      <c r="T58" s="11"/>
      <c r="U58" s="15"/>
      <c r="V58" s="11"/>
      <c r="W58" s="11"/>
      <c r="X58" s="11"/>
      <c r="Y58" s="11"/>
      <c r="Z58" s="11"/>
    </row>
    <row r="59">
      <c r="A59" s="18"/>
      <c r="B59" s="11"/>
      <c r="C59" s="11"/>
      <c r="D59" s="11"/>
      <c r="E59" s="11"/>
      <c r="F59" s="11"/>
      <c r="G59" s="11"/>
      <c r="H59" s="11"/>
      <c r="I59" s="11"/>
      <c r="J59" s="11"/>
      <c r="K59" s="11"/>
      <c r="L59" s="15"/>
      <c r="M59" s="15"/>
      <c r="N59" s="15"/>
      <c r="O59" s="15"/>
      <c r="P59" s="15"/>
      <c r="Q59" s="11"/>
      <c r="R59" s="11"/>
      <c r="S59" s="11"/>
      <c r="T59" s="11"/>
      <c r="U59" s="15"/>
      <c r="V59" s="11"/>
      <c r="W59" s="11"/>
      <c r="X59" s="11"/>
      <c r="Y59" s="11"/>
      <c r="Z59" s="11"/>
    </row>
    <row r="60">
      <c r="A60" s="18"/>
      <c r="B60" s="11"/>
      <c r="C60" s="11"/>
      <c r="D60" s="11"/>
      <c r="E60" s="11"/>
      <c r="F60" s="11"/>
      <c r="G60" s="11"/>
      <c r="H60" s="11"/>
      <c r="I60" s="11"/>
      <c r="J60" s="11"/>
      <c r="K60" s="11"/>
      <c r="L60" s="15"/>
      <c r="M60" s="15"/>
      <c r="N60" s="15"/>
      <c r="O60" s="15"/>
      <c r="P60" s="15"/>
      <c r="Q60" s="11"/>
      <c r="R60" s="11"/>
      <c r="S60" s="11"/>
      <c r="T60" s="11"/>
      <c r="U60" s="15"/>
      <c r="V60" s="11"/>
      <c r="W60" s="11"/>
      <c r="X60" s="11"/>
      <c r="Y60" s="11"/>
      <c r="Z60" s="11"/>
    </row>
    <row r="61">
      <c r="A61" s="18"/>
      <c r="B61" s="11"/>
      <c r="C61" s="11"/>
      <c r="D61" s="11"/>
      <c r="E61" s="11"/>
      <c r="F61" s="11"/>
      <c r="G61" s="11"/>
      <c r="H61" s="11"/>
      <c r="I61" s="11"/>
      <c r="J61" s="11"/>
      <c r="K61" s="11"/>
      <c r="L61" s="15"/>
      <c r="M61" s="15"/>
      <c r="N61" s="15"/>
      <c r="O61" s="15"/>
      <c r="P61" s="15"/>
      <c r="Q61" s="11"/>
      <c r="R61" s="11"/>
      <c r="S61" s="11"/>
      <c r="T61" s="11"/>
      <c r="U61" s="15"/>
      <c r="V61" s="11"/>
      <c r="W61" s="11"/>
      <c r="X61" s="11"/>
      <c r="Y61" s="11"/>
      <c r="Z61" s="11"/>
    </row>
    <row r="62">
      <c r="A62" s="18"/>
      <c r="B62" s="11"/>
      <c r="C62" s="11"/>
      <c r="D62" s="11"/>
      <c r="E62" s="11"/>
      <c r="F62" s="11"/>
      <c r="G62" s="11"/>
      <c r="H62" s="11"/>
      <c r="I62" s="11"/>
      <c r="J62" s="11"/>
      <c r="K62" s="11"/>
      <c r="L62" s="15"/>
      <c r="M62" s="15"/>
      <c r="N62" s="15"/>
      <c r="O62" s="15"/>
      <c r="P62" s="15"/>
      <c r="Q62" s="11"/>
      <c r="R62" s="11"/>
      <c r="S62" s="11"/>
      <c r="T62" s="11"/>
      <c r="U62" s="15"/>
      <c r="V62" s="11"/>
      <c r="W62" s="11"/>
      <c r="X62" s="11"/>
      <c r="Y62" s="11"/>
      <c r="Z62" s="11"/>
    </row>
    <row r="63">
      <c r="A63" s="18"/>
      <c r="B63" s="11"/>
      <c r="C63" s="11"/>
      <c r="D63" s="11"/>
      <c r="E63" s="11"/>
      <c r="F63" s="11"/>
      <c r="G63" s="11"/>
      <c r="H63" s="11"/>
      <c r="I63" s="11"/>
      <c r="J63" s="11"/>
      <c r="K63" s="11"/>
      <c r="L63" s="15"/>
      <c r="M63" s="15"/>
      <c r="N63" s="15"/>
      <c r="O63" s="15"/>
      <c r="P63" s="15"/>
      <c r="Q63" s="11"/>
      <c r="R63" s="11"/>
      <c r="S63" s="11"/>
      <c r="T63" s="11"/>
      <c r="U63" s="15"/>
      <c r="V63" s="11"/>
      <c r="W63" s="11"/>
      <c r="X63" s="11"/>
      <c r="Y63" s="11"/>
      <c r="Z63" s="11"/>
    </row>
    <row r="64">
      <c r="A64" s="18"/>
      <c r="B64" s="11"/>
      <c r="C64" s="11"/>
      <c r="D64" s="11"/>
      <c r="E64" s="11"/>
      <c r="F64" s="11"/>
      <c r="G64" s="11"/>
      <c r="H64" s="11"/>
      <c r="I64" s="11"/>
      <c r="J64" s="11"/>
      <c r="K64" s="11"/>
      <c r="L64" s="15"/>
      <c r="M64" s="15"/>
      <c r="N64" s="15"/>
      <c r="O64" s="15"/>
      <c r="P64" s="15"/>
      <c r="Q64" s="11"/>
      <c r="R64" s="11"/>
      <c r="S64" s="11"/>
      <c r="T64" s="11"/>
      <c r="U64" s="15"/>
      <c r="V64" s="11"/>
      <c r="W64" s="11"/>
      <c r="X64" s="11"/>
      <c r="Y64" s="11"/>
      <c r="Z64" s="11"/>
    </row>
    <row r="65">
      <c r="A65" s="18"/>
      <c r="B65" s="11"/>
      <c r="C65" s="11"/>
      <c r="D65" s="11"/>
      <c r="E65" s="11"/>
      <c r="F65" s="11"/>
      <c r="G65" s="11"/>
      <c r="H65" s="11"/>
      <c r="I65" s="11"/>
      <c r="J65" s="11"/>
      <c r="K65" s="11"/>
      <c r="L65" s="15"/>
      <c r="M65" s="15"/>
      <c r="N65" s="15"/>
      <c r="O65" s="15"/>
      <c r="P65" s="15"/>
      <c r="Q65" s="11"/>
      <c r="R65" s="11"/>
      <c r="S65" s="11"/>
      <c r="T65" s="11"/>
      <c r="U65" s="15"/>
      <c r="V65" s="11"/>
      <c r="W65" s="11"/>
      <c r="X65" s="11"/>
      <c r="Y65" s="11"/>
      <c r="Z65" s="11"/>
    </row>
    <row r="66">
      <c r="A66" s="18"/>
      <c r="B66" s="11"/>
      <c r="C66" s="11"/>
      <c r="D66" s="11"/>
      <c r="E66" s="11"/>
      <c r="F66" s="11"/>
      <c r="G66" s="11"/>
      <c r="H66" s="11"/>
      <c r="I66" s="11"/>
      <c r="J66" s="11"/>
      <c r="K66" s="11"/>
      <c r="L66" s="15"/>
      <c r="M66" s="15"/>
      <c r="N66" s="15"/>
      <c r="O66" s="15"/>
      <c r="P66" s="15"/>
      <c r="Q66" s="11"/>
      <c r="R66" s="11"/>
      <c r="S66" s="11"/>
      <c r="T66" s="11"/>
      <c r="U66" s="15"/>
      <c r="V66" s="11"/>
      <c r="W66" s="11"/>
      <c r="X66" s="11"/>
      <c r="Y66" s="11"/>
      <c r="Z66" s="11"/>
    </row>
    <row r="67">
      <c r="A67" s="18"/>
      <c r="B67" s="11"/>
      <c r="C67" s="11"/>
      <c r="D67" s="11"/>
      <c r="E67" s="11"/>
      <c r="F67" s="11"/>
      <c r="G67" s="11"/>
      <c r="H67" s="11"/>
      <c r="I67" s="11"/>
      <c r="J67" s="11"/>
      <c r="K67" s="11"/>
      <c r="L67" s="15"/>
      <c r="M67" s="15"/>
      <c r="N67" s="15"/>
      <c r="O67" s="15"/>
      <c r="P67" s="15"/>
      <c r="Q67" s="11"/>
      <c r="R67" s="11"/>
      <c r="S67" s="11"/>
      <c r="T67" s="11"/>
      <c r="U67" s="15"/>
      <c r="V67" s="11"/>
      <c r="W67" s="11"/>
      <c r="X67" s="11"/>
      <c r="Y67" s="11"/>
      <c r="Z67" s="11"/>
    </row>
    <row r="68">
      <c r="A68" s="18"/>
      <c r="B68" s="11"/>
      <c r="C68" s="11"/>
      <c r="D68" s="11"/>
      <c r="E68" s="11"/>
      <c r="F68" s="11"/>
      <c r="G68" s="11"/>
      <c r="H68" s="11"/>
      <c r="I68" s="11"/>
      <c r="J68" s="11"/>
      <c r="K68" s="11"/>
      <c r="L68" s="15"/>
      <c r="M68" s="15"/>
      <c r="N68" s="15"/>
      <c r="O68" s="15"/>
      <c r="P68" s="15"/>
      <c r="Q68" s="11"/>
      <c r="R68" s="11"/>
      <c r="S68" s="11"/>
      <c r="T68" s="11"/>
      <c r="U68" s="15"/>
      <c r="V68" s="11"/>
      <c r="W68" s="11"/>
      <c r="X68" s="11"/>
      <c r="Y68" s="11"/>
      <c r="Z68" s="11"/>
    </row>
    <row r="69">
      <c r="A69" s="18"/>
      <c r="B69" s="11"/>
      <c r="C69" s="11"/>
      <c r="D69" s="11"/>
      <c r="E69" s="11"/>
      <c r="F69" s="11"/>
      <c r="G69" s="11"/>
      <c r="H69" s="11"/>
      <c r="I69" s="11"/>
      <c r="J69" s="11"/>
      <c r="K69" s="11"/>
      <c r="L69" s="15"/>
      <c r="M69" s="15"/>
      <c r="N69" s="15"/>
      <c r="O69" s="15"/>
      <c r="P69" s="15"/>
      <c r="Q69" s="11"/>
      <c r="R69" s="11"/>
      <c r="S69" s="11"/>
      <c r="T69" s="11"/>
      <c r="U69" s="15"/>
      <c r="V69" s="11"/>
      <c r="W69" s="11"/>
      <c r="X69" s="11"/>
      <c r="Y69" s="11"/>
      <c r="Z69" s="11"/>
    </row>
    <row r="70">
      <c r="A70" s="18"/>
      <c r="B70" s="11"/>
      <c r="C70" s="11"/>
      <c r="D70" s="11"/>
      <c r="E70" s="11"/>
      <c r="F70" s="11"/>
      <c r="G70" s="11"/>
      <c r="H70" s="11"/>
      <c r="I70" s="11"/>
      <c r="J70" s="11"/>
      <c r="K70" s="11"/>
      <c r="L70" s="15"/>
      <c r="M70" s="15"/>
      <c r="N70" s="15"/>
      <c r="O70" s="15"/>
      <c r="P70" s="15"/>
      <c r="Q70" s="11"/>
      <c r="R70" s="11"/>
      <c r="S70" s="11"/>
      <c r="T70" s="11"/>
      <c r="U70" s="15"/>
      <c r="V70" s="11"/>
      <c r="W70" s="11"/>
      <c r="X70" s="11"/>
      <c r="Y70" s="11"/>
      <c r="Z70" s="11"/>
    </row>
    <row r="71">
      <c r="A71" s="18"/>
      <c r="B71" s="11"/>
      <c r="C71" s="11"/>
      <c r="D71" s="11"/>
      <c r="E71" s="11"/>
      <c r="F71" s="11"/>
      <c r="G71" s="11"/>
      <c r="H71" s="11"/>
      <c r="I71" s="11"/>
      <c r="J71" s="11"/>
      <c r="K71" s="11"/>
      <c r="L71" s="15"/>
      <c r="M71" s="15"/>
      <c r="N71" s="15"/>
      <c r="O71" s="15"/>
      <c r="P71" s="15"/>
      <c r="Q71" s="11"/>
      <c r="R71" s="11"/>
      <c r="S71" s="11"/>
      <c r="T71" s="11"/>
      <c r="U71" s="15"/>
      <c r="V71" s="11"/>
      <c r="W71" s="11"/>
      <c r="X71" s="11"/>
      <c r="Y71" s="11"/>
      <c r="Z71" s="11"/>
    </row>
    <row r="72">
      <c r="A72" s="18"/>
      <c r="B72" s="11"/>
      <c r="C72" s="11"/>
      <c r="D72" s="11"/>
      <c r="E72" s="11"/>
      <c r="F72" s="11"/>
      <c r="G72" s="11"/>
      <c r="H72" s="11"/>
      <c r="I72" s="11"/>
      <c r="J72" s="11"/>
      <c r="K72" s="11"/>
      <c r="L72" s="15"/>
      <c r="M72" s="15"/>
      <c r="N72" s="15"/>
      <c r="O72" s="15"/>
      <c r="P72" s="15"/>
      <c r="Q72" s="11"/>
      <c r="R72" s="11"/>
      <c r="S72" s="11"/>
      <c r="T72" s="11"/>
      <c r="U72" s="15"/>
      <c r="V72" s="11"/>
      <c r="W72" s="11"/>
      <c r="X72" s="11"/>
      <c r="Y72" s="11"/>
      <c r="Z72" s="11"/>
    </row>
    <row r="73">
      <c r="A73" s="18"/>
      <c r="B73" s="11"/>
      <c r="C73" s="11"/>
      <c r="D73" s="11"/>
      <c r="E73" s="11"/>
      <c r="F73" s="11"/>
      <c r="G73" s="11"/>
      <c r="H73" s="11"/>
      <c r="I73" s="11"/>
      <c r="J73" s="11"/>
      <c r="K73" s="11"/>
      <c r="L73" s="15"/>
      <c r="M73" s="15"/>
      <c r="N73" s="15"/>
      <c r="O73" s="15"/>
      <c r="P73" s="15"/>
      <c r="Q73" s="11"/>
      <c r="R73" s="11"/>
      <c r="S73" s="11"/>
      <c r="T73" s="11"/>
      <c r="U73" s="15"/>
      <c r="V73" s="11"/>
      <c r="W73" s="11"/>
      <c r="X73" s="11"/>
      <c r="Y73" s="11"/>
      <c r="Z73" s="11"/>
    </row>
    <row r="74">
      <c r="A74" s="18"/>
      <c r="B74" s="11"/>
      <c r="C74" s="11"/>
      <c r="D74" s="11"/>
      <c r="E74" s="11"/>
      <c r="F74" s="11"/>
      <c r="G74" s="11"/>
      <c r="H74" s="11"/>
      <c r="I74" s="11"/>
      <c r="J74" s="11"/>
      <c r="K74" s="11"/>
      <c r="L74" s="15"/>
      <c r="M74" s="15"/>
      <c r="N74" s="15"/>
      <c r="O74" s="15"/>
      <c r="P74" s="15"/>
      <c r="Q74" s="11"/>
      <c r="R74" s="11"/>
      <c r="S74" s="11"/>
      <c r="T74" s="11"/>
      <c r="U74" s="15"/>
      <c r="V74" s="11"/>
      <c r="W74" s="11"/>
      <c r="X74" s="11"/>
      <c r="Y74" s="11"/>
      <c r="Z74" s="11"/>
    </row>
    <row r="75">
      <c r="A75" s="18"/>
      <c r="B75" s="11"/>
      <c r="C75" s="11"/>
      <c r="D75" s="11"/>
      <c r="E75" s="11"/>
      <c r="F75" s="11"/>
      <c r="G75" s="11"/>
      <c r="H75" s="11"/>
      <c r="I75" s="11"/>
      <c r="J75" s="11"/>
      <c r="K75" s="11"/>
      <c r="L75" s="15"/>
      <c r="M75" s="15"/>
      <c r="N75" s="15"/>
      <c r="O75" s="15"/>
      <c r="P75" s="15"/>
      <c r="Q75" s="11"/>
      <c r="R75" s="11"/>
      <c r="S75" s="11"/>
      <c r="T75" s="11"/>
      <c r="U75" s="15"/>
      <c r="V75" s="11"/>
      <c r="W75" s="11"/>
      <c r="X75" s="11"/>
      <c r="Y75" s="11"/>
      <c r="Z75" s="11"/>
    </row>
    <row r="76">
      <c r="A76" s="18"/>
      <c r="B76" s="11"/>
      <c r="C76" s="11"/>
      <c r="D76" s="11"/>
      <c r="E76" s="11"/>
      <c r="F76" s="11"/>
      <c r="G76" s="11"/>
      <c r="H76" s="11"/>
      <c r="I76" s="11"/>
      <c r="J76" s="11"/>
      <c r="K76" s="11"/>
      <c r="L76" s="15"/>
      <c r="M76" s="15"/>
      <c r="N76" s="15"/>
      <c r="O76" s="15"/>
      <c r="P76" s="15"/>
      <c r="Q76" s="11"/>
      <c r="R76" s="11"/>
      <c r="S76" s="11"/>
      <c r="T76" s="11"/>
      <c r="U76" s="15"/>
      <c r="V76" s="11"/>
      <c r="W76" s="11"/>
      <c r="X76" s="11"/>
      <c r="Y76" s="11"/>
      <c r="Z76" s="11"/>
    </row>
    <row r="77">
      <c r="A77" s="18"/>
      <c r="B77" s="11"/>
      <c r="C77" s="11"/>
      <c r="D77" s="11"/>
      <c r="E77" s="11"/>
      <c r="F77" s="11"/>
      <c r="G77" s="11"/>
      <c r="H77" s="11"/>
      <c r="I77" s="11"/>
      <c r="J77" s="11"/>
      <c r="K77" s="11"/>
      <c r="L77" s="15"/>
      <c r="M77" s="15"/>
      <c r="N77" s="15"/>
      <c r="O77" s="15"/>
      <c r="P77" s="15"/>
      <c r="Q77" s="11"/>
      <c r="R77" s="11"/>
      <c r="S77" s="11"/>
      <c r="T77" s="11"/>
      <c r="U77" s="15"/>
      <c r="V77" s="11"/>
      <c r="W77" s="11"/>
      <c r="X77" s="11"/>
      <c r="Y77" s="11"/>
      <c r="Z77" s="11"/>
    </row>
    <row r="78">
      <c r="A78" s="18"/>
      <c r="B78" s="11"/>
      <c r="C78" s="11"/>
      <c r="D78" s="11"/>
      <c r="E78" s="11"/>
      <c r="F78" s="11"/>
      <c r="G78" s="11"/>
      <c r="H78" s="11"/>
      <c r="I78" s="11"/>
      <c r="J78" s="11"/>
      <c r="K78" s="11"/>
      <c r="L78" s="15"/>
      <c r="M78" s="15"/>
      <c r="N78" s="15"/>
      <c r="O78" s="15"/>
      <c r="P78" s="15"/>
      <c r="Q78" s="11"/>
      <c r="R78" s="11"/>
      <c r="S78" s="11"/>
      <c r="T78" s="11"/>
      <c r="U78" s="15"/>
      <c r="V78" s="11"/>
      <c r="W78" s="11"/>
      <c r="X78" s="11"/>
      <c r="Y78" s="11"/>
      <c r="Z78" s="11"/>
    </row>
    <row r="79">
      <c r="A79" s="18"/>
      <c r="B79" s="11"/>
      <c r="C79" s="11"/>
      <c r="D79" s="11"/>
      <c r="E79" s="11"/>
      <c r="F79" s="11"/>
      <c r="G79" s="11"/>
      <c r="H79" s="11"/>
      <c r="I79" s="11"/>
      <c r="J79" s="11"/>
      <c r="K79" s="11"/>
      <c r="L79" s="15"/>
      <c r="M79" s="15"/>
      <c r="N79" s="15"/>
      <c r="O79" s="15"/>
      <c r="P79" s="15"/>
      <c r="Q79" s="11"/>
      <c r="R79" s="11"/>
      <c r="S79" s="11"/>
      <c r="T79" s="11"/>
      <c r="U79" s="15"/>
      <c r="V79" s="11"/>
      <c r="W79" s="11"/>
      <c r="X79" s="11"/>
      <c r="Y79" s="11"/>
      <c r="Z79" s="11"/>
    </row>
    <row r="80">
      <c r="A80" s="18"/>
      <c r="B80" s="11"/>
      <c r="C80" s="11"/>
      <c r="D80" s="11"/>
      <c r="E80" s="11"/>
      <c r="F80" s="11"/>
      <c r="G80" s="11"/>
      <c r="H80" s="11"/>
      <c r="I80" s="11"/>
      <c r="J80" s="11"/>
      <c r="K80" s="11"/>
      <c r="L80" s="15"/>
      <c r="M80" s="15"/>
      <c r="N80" s="15"/>
      <c r="O80" s="15"/>
      <c r="P80" s="15"/>
      <c r="Q80" s="11"/>
      <c r="R80" s="11"/>
      <c r="S80" s="11"/>
      <c r="T80" s="11"/>
      <c r="U80" s="15"/>
      <c r="V80" s="11"/>
      <c r="W80" s="11"/>
      <c r="X80" s="11"/>
      <c r="Y80" s="11"/>
      <c r="Z80" s="11"/>
    </row>
    <row r="81">
      <c r="A81" s="18"/>
      <c r="B81" s="11"/>
      <c r="C81" s="11"/>
      <c r="D81" s="11"/>
      <c r="E81" s="11"/>
      <c r="F81" s="11"/>
      <c r="G81" s="11"/>
      <c r="H81" s="11"/>
      <c r="I81" s="11"/>
      <c r="J81" s="11"/>
      <c r="K81" s="11"/>
      <c r="L81" s="15"/>
      <c r="M81" s="15"/>
      <c r="N81" s="15"/>
      <c r="O81" s="15"/>
      <c r="P81" s="15"/>
      <c r="Q81" s="11"/>
      <c r="R81" s="11"/>
      <c r="S81" s="11"/>
      <c r="T81" s="11"/>
      <c r="U81" s="15"/>
      <c r="V81" s="11"/>
      <c r="W81" s="11"/>
      <c r="X81" s="11"/>
      <c r="Y81" s="11"/>
      <c r="Z81" s="11"/>
    </row>
    <row r="82">
      <c r="A82" s="18"/>
      <c r="B82" s="11"/>
      <c r="C82" s="11"/>
      <c r="D82" s="11"/>
      <c r="E82" s="11"/>
      <c r="F82" s="11"/>
      <c r="G82" s="11"/>
      <c r="H82" s="11"/>
      <c r="I82" s="11"/>
      <c r="J82" s="11"/>
      <c r="K82" s="11"/>
      <c r="L82" s="15"/>
      <c r="M82" s="15"/>
      <c r="N82" s="15"/>
      <c r="O82" s="15"/>
      <c r="P82" s="15"/>
      <c r="Q82" s="11"/>
      <c r="R82" s="11"/>
      <c r="S82" s="11"/>
      <c r="T82" s="11"/>
      <c r="U82" s="15"/>
      <c r="V82" s="11"/>
      <c r="W82" s="11"/>
      <c r="X82" s="11"/>
      <c r="Y82" s="11"/>
      <c r="Z82" s="11"/>
    </row>
    <row r="83">
      <c r="A83" s="18"/>
      <c r="B83" s="11"/>
      <c r="C83" s="11"/>
      <c r="D83" s="11"/>
      <c r="E83" s="11"/>
      <c r="F83" s="11"/>
      <c r="G83" s="11"/>
      <c r="H83" s="11"/>
      <c r="I83" s="11"/>
      <c r="J83" s="11"/>
      <c r="K83" s="11"/>
      <c r="L83" s="15"/>
      <c r="M83" s="15"/>
      <c r="N83" s="15"/>
      <c r="O83" s="15"/>
      <c r="P83" s="15"/>
      <c r="Q83" s="11"/>
      <c r="R83" s="11"/>
      <c r="S83" s="11"/>
      <c r="T83" s="11"/>
      <c r="U83" s="15"/>
      <c r="V83" s="11"/>
      <c r="W83" s="11"/>
      <c r="X83" s="11"/>
      <c r="Y83" s="11"/>
      <c r="Z83" s="11"/>
    </row>
    <row r="84">
      <c r="A84" s="18"/>
      <c r="B84" s="11"/>
      <c r="C84" s="11"/>
      <c r="D84" s="11"/>
      <c r="E84" s="11"/>
      <c r="F84" s="11"/>
      <c r="G84" s="11"/>
      <c r="H84" s="11"/>
      <c r="I84" s="11"/>
      <c r="J84" s="11"/>
      <c r="K84" s="11"/>
      <c r="L84" s="15"/>
      <c r="M84" s="15"/>
      <c r="N84" s="15"/>
      <c r="O84" s="15"/>
      <c r="P84" s="15"/>
      <c r="Q84" s="11"/>
      <c r="R84" s="11"/>
      <c r="S84" s="11"/>
      <c r="T84" s="11"/>
      <c r="U84" s="15"/>
      <c r="V84" s="11"/>
      <c r="W84" s="11"/>
      <c r="X84" s="11"/>
      <c r="Y84" s="11"/>
      <c r="Z84" s="11"/>
    </row>
    <row r="85">
      <c r="A85" s="18"/>
      <c r="B85" s="11"/>
      <c r="C85" s="11"/>
      <c r="D85" s="11"/>
      <c r="E85" s="11"/>
      <c r="F85" s="11"/>
      <c r="G85" s="11"/>
      <c r="H85" s="11"/>
      <c r="I85" s="11"/>
      <c r="J85" s="11"/>
      <c r="K85" s="11"/>
      <c r="L85" s="15"/>
      <c r="M85" s="15"/>
      <c r="N85" s="15"/>
      <c r="O85" s="15"/>
      <c r="P85" s="15"/>
      <c r="Q85" s="11"/>
      <c r="R85" s="11"/>
      <c r="S85" s="11"/>
      <c r="T85" s="11"/>
      <c r="U85" s="15"/>
      <c r="V85" s="11"/>
      <c r="W85" s="11"/>
      <c r="X85" s="11"/>
      <c r="Y85" s="11"/>
      <c r="Z85" s="11"/>
    </row>
    <row r="86">
      <c r="A86" s="18"/>
      <c r="B86" s="11"/>
      <c r="C86" s="11"/>
      <c r="D86" s="11"/>
      <c r="E86" s="11"/>
      <c r="F86" s="11"/>
      <c r="G86" s="11"/>
      <c r="H86" s="11"/>
      <c r="I86" s="11"/>
      <c r="J86" s="11"/>
      <c r="K86" s="11"/>
      <c r="L86" s="15"/>
      <c r="M86" s="15"/>
      <c r="N86" s="15"/>
      <c r="O86" s="15"/>
      <c r="P86" s="15"/>
      <c r="Q86" s="11"/>
      <c r="R86" s="11"/>
      <c r="S86" s="11"/>
      <c r="T86" s="11"/>
      <c r="U86" s="15"/>
      <c r="V86" s="11"/>
      <c r="W86" s="11"/>
      <c r="X86" s="11"/>
      <c r="Y86" s="11"/>
      <c r="Z86" s="11"/>
    </row>
    <row r="87">
      <c r="A87" s="18"/>
      <c r="B87" s="11"/>
      <c r="C87" s="11"/>
      <c r="D87" s="11"/>
      <c r="E87" s="11"/>
      <c r="F87" s="11"/>
      <c r="G87" s="11"/>
      <c r="H87" s="11"/>
      <c r="I87" s="11"/>
      <c r="J87" s="11"/>
      <c r="K87" s="11"/>
      <c r="L87" s="15"/>
      <c r="M87" s="15"/>
      <c r="N87" s="15"/>
      <c r="O87" s="15"/>
      <c r="P87" s="15"/>
      <c r="Q87" s="11"/>
      <c r="R87" s="11"/>
      <c r="S87" s="11"/>
      <c r="T87" s="11"/>
      <c r="U87" s="15"/>
      <c r="V87" s="11"/>
      <c r="W87" s="11"/>
      <c r="X87" s="11"/>
      <c r="Y87" s="11"/>
      <c r="Z87" s="11"/>
    </row>
    <row r="88">
      <c r="A88" s="18"/>
      <c r="B88" s="11"/>
      <c r="C88" s="11"/>
      <c r="D88" s="11"/>
      <c r="E88" s="11"/>
      <c r="F88" s="11"/>
      <c r="G88" s="11"/>
      <c r="H88" s="11"/>
      <c r="I88" s="11"/>
      <c r="J88" s="11"/>
      <c r="K88" s="11"/>
      <c r="L88" s="15"/>
      <c r="M88" s="15"/>
      <c r="N88" s="15"/>
      <c r="O88" s="15"/>
      <c r="P88" s="15"/>
      <c r="Q88" s="11"/>
      <c r="R88" s="11"/>
      <c r="S88" s="11"/>
      <c r="T88" s="11"/>
      <c r="U88" s="15"/>
      <c r="V88" s="11"/>
      <c r="W88" s="11"/>
      <c r="X88" s="11"/>
      <c r="Y88" s="11"/>
      <c r="Z88" s="11"/>
    </row>
    <row r="89">
      <c r="A89" s="18"/>
      <c r="B89" s="11"/>
      <c r="C89" s="11"/>
      <c r="D89" s="11"/>
      <c r="E89" s="11"/>
      <c r="F89" s="11"/>
      <c r="G89" s="11"/>
      <c r="H89" s="11"/>
      <c r="I89" s="11"/>
      <c r="J89" s="11"/>
      <c r="K89" s="11"/>
      <c r="L89" s="15"/>
      <c r="M89" s="15"/>
      <c r="N89" s="15"/>
      <c r="O89" s="15"/>
      <c r="P89" s="15"/>
      <c r="Q89" s="11"/>
      <c r="R89" s="11"/>
      <c r="S89" s="11"/>
      <c r="T89" s="11"/>
      <c r="U89" s="15"/>
      <c r="V89" s="11"/>
      <c r="W89" s="11"/>
      <c r="X89" s="11"/>
      <c r="Y89" s="11"/>
      <c r="Z89" s="11"/>
    </row>
    <row r="90">
      <c r="A90" s="18"/>
      <c r="B90" s="11"/>
      <c r="C90" s="11"/>
      <c r="D90" s="11"/>
      <c r="E90" s="11"/>
      <c r="F90" s="11"/>
      <c r="G90" s="11"/>
      <c r="H90" s="11"/>
      <c r="I90" s="11"/>
      <c r="J90" s="11"/>
      <c r="K90" s="11"/>
      <c r="L90" s="15"/>
      <c r="M90" s="15"/>
      <c r="N90" s="15"/>
      <c r="O90" s="15"/>
      <c r="P90" s="15"/>
      <c r="Q90" s="11"/>
      <c r="R90" s="11"/>
      <c r="S90" s="11"/>
      <c r="T90" s="11"/>
      <c r="U90" s="15"/>
      <c r="V90" s="11"/>
      <c r="W90" s="11"/>
      <c r="X90" s="11"/>
      <c r="Y90" s="11"/>
      <c r="Z90" s="11"/>
    </row>
    <row r="91">
      <c r="A91" s="18"/>
      <c r="B91" s="11"/>
      <c r="C91" s="11"/>
      <c r="D91" s="11"/>
      <c r="E91" s="11"/>
      <c r="F91" s="11"/>
      <c r="G91" s="11"/>
      <c r="H91" s="11"/>
      <c r="I91" s="11"/>
      <c r="J91" s="11"/>
      <c r="K91" s="11"/>
      <c r="L91" s="15"/>
      <c r="M91" s="15"/>
      <c r="N91" s="15"/>
      <c r="O91" s="15"/>
      <c r="P91" s="15"/>
      <c r="Q91" s="11"/>
      <c r="R91" s="11"/>
      <c r="S91" s="11"/>
      <c r="T91" s="11"/>
      <c r="U91" s="15"/>
      <c r="V91" s="11"/>
      <c r="W91" s="11"/>
      <c r="X91" s="11"/>
      <c r="Y91" s="11"/>
      <c r="Z91" s="11"/>
    </row>
    <row r="92">
      <c r="A92" s="18"/>
      <c r="B92" s="11"/>
      <c r="C92" s="11"/>
      <c r="D92" s="11"/>
      <c r="E92" s="11"/>
      <c r="F92" s="11"/>
      <c r="G92" s="11"/>
      <c r="H92" s="11"/>
      <c r="I92" s="11"/>
      <c r="J92" s="11"/>
      <c r="K92" s="11"/>
      <c r="L92" s="15"/>
      <c r="M92" s="15"/>
      <c r="N92" s="15"/>
      <c r="O92" s="15"/>
      <c r="P92" s="15"/>
      <c r="Q92" s="11"/>
      <c r="R92" s="11"/>
      <c r="S92" s="11"/>
      <c r="T92" s="11"/>
      <c r="U92" s="15"/>
      <c r="V92" s="11"/>
      <c r="W92" s="11"/>
      <c r="X92" s="11"/>
      <c r="Y92" s="11"/>
      <c r="Z92" s="11"/>
    </row>
    <row r="93">
      <c r="A93" s="18"/>
      <c r="B93" s="11"/>
      <c r="C93" s="11"/>
      <c r="D93" s="11"/>
      <c r="E93" s="11"/>
      <c r="F93" s="11"/>
      <c r="G93" s="11"/>
      <c r="H93" s="11"/>
      <c r="I93" s="11"/>
      <c r="J93" s="11"/>
      <c r="K93" s="11"/>
      <c r="L93" s="15"/>
      <c r="M93" s="15"/>
      <c r="N93" s="15"/>
      <c r="O93" s="15"/>
      <c r="P93" s="15"/>
      <c r="Q93" s="11"/>
      <c r="R93" s="11"/>
      <c r="S93" s="11"/>
      <c r="T93" s="11"/>
      <c r="U93" s="15"/>
      <c r="V93" s="11"/>
      <c r="W93" s="11"/>
      <c r="X93" s="11"/>
      <c r="Y93" s="11"/>
      <c r="Z93" s="11"/>
    </row>
    <row r="94">
      <c r="A94" s="18"/>
      <c r="B94" s="11"/>
      <c r="C94" s="11"/>
      <c r="D94" s="11"/>
      <c r="E94" s="11"/>
      <c r="F94" s="11"/>
      <c r="G94" s="11"/>
      <c r="H94" s="11"/>
      <c r="I94" s="11"/>
      <c r="J94" s="11"/>
      <c r="K94" s="11"/>
      <c r="L94" s="15"/>
      <c r="M94" s="15"/>
      <c r="N94" s="15"/>
      <c r="O94" s="15"/>
      <c r="P94" s="15"/>
      <c r="Q94" s="11"/>
      <c r="R94" s="11"/>
      <c r="S94" s="11"/>
      <c r="T94" s="11"/>
      <c r="U94" s="15"/>
      <c r="V94" s="11"/>
      <c r="W94" s="11"/>
      <c r="X94" s="11"/>
      <c r="Y94" s="11"/>
      <c r="Z94" s="11"/>
    </row>
    <row r="95">
      <c r="A95" s="18"/>
      <c r="B95" s="11"/>
      <c r="C95" s="11"/>
      <c r="D95" s="11"/>
      <c r="E95" s="11"/>
      <c r="F95" s="11"/>
      <c r="G95" s="11"/>
      <c r="H95" s="11"/>
      <c r="I95" s="11"/>
      <c r="J95" s="11"/>
      <c r="K95" s="11"/>
      <c r="L95" s="15"/>
      <c r="M95" s="15"/>
      <c r="N95" s="15"/>
      <c r="O95" s="15"/>
      <c r="P95" s="15"/>
      <c r="Q95" s="11"/>
      <c r="R95" s="11"/>
      <c r="S95" s="11"/>
      <c r="T95" s="11"/>
      <c r="U95" s="15"/>
      <c r="V95" s="11"/>
      <c r="W95" s="11"/>
      <c r="X95" s="11"/>
      <c r="Y95" s="11"/>
      <c r="Z95" s="11"/>
    </row>
    <row r="96">
      <c r="A96" s="18"/>
      <c r="B96" s="11"/>
      <c r="C96" s="11"/>
      <c r="D96" s="11"/>
      <c r="E96" s="11"/>
      <c r="F96" s="11"/>
      <c r="G96" s="11"/>
      <c r="H96" s="11"/>
      <c r="I96" s="11"/>
      <c r="J96" s="11"/>
      <c r="K96" s="11"/>
      <c r="L96" s="15"/>
      <c r="M96" s="15"/>
      <c r="N96" s="15"/>
      <c r="O96" s="15"/>
      <c r="P96" s="15"/>
      <c r="Q96" s="11"/>
      <c r="R96" s="11"/>
      <c r="S96" s="11"/>
      <c r="T96" s="11"/>
      <c r="U96" s="15"/>
      <c r="V96" s="11"/>
      <c r="W96" s="11"/>
      <c r="X96" s="11"/>
      <c r="Y96" s="11"/>
      <c r="Z96" s="11"/>
    </row>
    <row r="97">
      <c r="A97" s="18"/>
      <c r="B97" s="11"/>
      <c r="C97" s="11"/>
      <c r="D97" s="11"/>
      <c r="E97" s="11"/>
      <c r="F97" s="11"/>
      <c r="G97" s="11"/>
      <c r="H97" s="11"/>
      <c r="I97" s="11"/>
      <c r="J97" s="11"/>
      <c r="K97" s="11"/>
      <c r="L97" s="15"/>
      <c r="M97" s="15"/>
      <c r="N97" s="15"/>
      <c r="O97" s="15"/>
      <c r="P97" s="15"/>
      <c r="Q97" s="11"/>
      <c r="R97" s="11"/>
      <c r="S97" s="11"/>
      <c r="T97" s="11"/>
      <c r="U97" s="15"/>
      <c r="V97" s="11"/>
      <c r="W97" s="11"/>
      <c r="X97" s="11"/>
      <c r="Y97" s="11"/>
      <c r="Z97" s="11"/>
    </row>
    <row r="98">
      <c r="A98" s="18"/>
      <c r="B98" s="11"/>
      <c r="C98" s="11"/>
      <c r="D98" s="11"/>
      <c r="E98" s="11"/>
      <c r="F98" s="11"/>
      <c r="G98" s="11"/>
      <c r="H98" s="11"/>
      <c r="I98" s="11"/>
      <c r="J98" s="11"/>
      <c r="K98" s="11"/>
      <c r="L98" s="15"/>
      <c r="M98" s="15"/>
      <c r="N98" s="15"/>
      <c r="O98" s="15"/>
      <c r="P98" s="15"/>
      <c r="Q98" s="11"/>
      <c r="R98" s="11"/>
      <c r="S98" s="11"/>
      <c r="T98" s="11"/>
      <c r="U98" s="15"/>
      <c r="V98" s="11"/>
      <c r="W98" s="11"/>
      <c r="X98" s="11"/>
      <c r="Y98" s="11"/>
      <c r="Z98" s="11"/>
    </row>
    <row r="99">
      <c r="A99" s="18"/>
      <c r="B99" s="11"/>
      <c r="C99" s="11"/>
      <c r="D99" s="11"/>
      <c r="E99" s="11"/>
      <c r="F99" s="11"/>
      <c r="G99" s="11"/>
      <c r="H99" s="11"/>
      <c r="I99" s="11"/>
      <c r="J99" s="11"/>
      <c r="K99" s="11"/>
      <c r="L99" s="15"/>
      <c r="M99" s="15"/>
      <c r="N99" s="15"/>
      <c r="O99" s="15"/>
      <c r="P99" s="15"/>
      <c r="Q99" s="11"/>
      <c r="R99" s="11"/>
      <c r="S99" s="11"/>
      <c r="T99" s="11"/>
      <c r="U99" s="15"/>
      <c r="V99" s="11"/>
      <c r="W99" s="11"/>
      <c r="X99" s="11"/>
      <c r="Y99" s="11"/>
      <c r="Z99" s="11"/>
    </row>
    <row r="100">
      <c r="A100" s="18"/>
      <c r="B100" s="11"/>
      <c r="C100" s="11"/>
      <c r="D100" s="11"/>
      <c r="E100" s="11"/>
      <c r="F100" s="11"/>
      <c r="G100" s="11"/>
      <c r="H100" s="11"/>
      <c r="I100" s="11"/>
      <c r="J100" s="11"/>
      <c r="K100" s="11"/>
      <c r="L100" s="15"/>
      <c r="M100" s="15"/>
      <c r="N100" s="15"/>
      <c r="O100" s="15"/>
      <c r="P100" s="15"/>
      <c r="Q100" s="11"/>
      <c r="R100" s="11"/>
      <c r="S100" s="11"/>
      <c r="T100" s="11"/>
      <c r="U100" s="15"/>
      <c r="V100" s="11"/>
      <c r="W100" s="11"/>
      <c r="X100" s="11"/>
      <c r="Y100" s="11"/>
      <c r="Z100" s="11"/>
    </row>
    <row r="101">
      <c r="A101" s="18"/>
      <c r="B101" s="11"/>
      <c r="C101" s="11"/>
      <c r="D101" s="11"/>
      <c r="E101" s="11"/>
      <c r="F101" s="11"/>
      <c r="G101" s="11"/>
      <c r="H101" s="11"/>
      <c r="I101" s="11"/>
      <c r="J101" s="11"/>
      <c r="K101" s="11"/>
      <c r="L101" s="15"/>
      <c r="M101" s="15"/>
      <c r="N101" s="15"/>
      <c r="O101" s="15"/>
      <c r="P101" s="15"/>
      <c r="Q101" s="11"/>
      <c r="R101" s="11"/>
      <c r="S101" s="11"/>
      <c r="T101" s="11"/>
      <c r="U101" s="15"/>
      <c r="V101" s="11"/>
      <c r="W101" s="11"/>
      <c r="X101" s="11"/>
      <c r="Y101" s="11"/>
      <c r="Z101" s="11"/>
    </row>
    <row r="102">
      <c r="A102" s="18"/>
      <c r="B102" s="11"/>
      <c r="C102" s="11"/>
      <c r="D102" s="11"/>
      <c r="E102" s="11"/>
      <c r="F102" s="11"/>
      <c r="G102" s="11"/>
      <c r="H102" s="11"/>
      <c r="I102" s="11"/>
      <c r="J102" s="11"/>
      <c r="K102" s="11"/>
      <c r="L102" s="15"/>
      <c r="M102" s="15"/>
      <c r="N102" s="15"/>
      <c r="O102" s="15"/>
      <c r="P102" s="15"/>
      <c r="Q102" s="11"/>
      <c r="R102" s="11"/>
      <c r="S102" s="11"/>
      <c r="T102" s="11"/>
      <c r="U102" s="15"/>
      <c r="V102" s="11"/>
      <c r="W102" s="11"/>
      <c r="X102" s="11"/>
      <c r="Y102" s="11"/>
      <c r="Z102" s="11"/>
    </row>
    <row r="103">
      <c r="A103" s="18"/>
      <c r="B103" s="11"/>
      <c r="C103" s="11"/>
      <c r="D103" s="11"/>
      <c r="E103" s="11"/>
      <c r="F103" s="11"/>
      <c r="G103" s="11"/>
      <c r="H103" s="11"/>
      <c r="I103" s="11"/>
      <c r="J103" s="11"/>
      <c r="K103" s="11"/>
      <c r="L103" s="15"/>
      <c r="M103" s="15"/>
      <c r="N103" s="15"/>
      <c r="O103" s="15"/>
      <c r="P103" s="15"/>
      <c r="Q103" s="11"/>
      <c r="R103" s="11"/>
      <c r="S103" s="11"/>
      <c r="T103" s="11"/>
      <c r="U103" s="15"/>
      <c r="V103" s="11"/>
      <c r="W103" s="11"/>
      <c r="X103" s="11"/>
      <c r="Y103" s="11"/>
      <c r="Z103" s="11"/>
    </row>
    <row r="104">
      <c r="A104" s="18"/>
      <c r="B104" s="11"/>
      <c r="C104" s="11"/>
      <c r="D104" s="11"/>
      <c r="E104" s="11"/>
      <c r="F104" s="11"/>
      <c r="G104" s="11"/>
      <c r="H104" s="11"/>
      <c r="I104" s="11"/>
      <c r="J104" s="11"/>
      <c r="K104" s="11"/>
      <c r="L104" s="15"/>
      <c r="M104" s="15"/>
      <c r="N104" s="15"/>
      <c r="O104" s="15"/>
      <c r="P104" s="15"/>
      <c r="Q104" s="11"/>
      <c r="R104" s="11"/>
      <c r="S104" s="11"/>
      <c r="T104" s="11"/>
      <c r="U104" s="15"/>
      <c r="V104" s="11"/>
      <c r="W104" s="11"/>
      <c r="X104" s="11"/>
      <c r="Y104" s="11"/>
      <c r="Z104" s="11"/>
    </row>
    <row r="105">
      <c r="A105" s="18"/>
      <c r="B105" s="11"/>
      <c r="C105" s="11"/>
      <c r="D105" s="11"/>
      <c r="E105" s="11"/>
      <c r="F105" s="11"/>
      <c r="G105" s="11"/>
      <c r="H105" s="11"/>
      <c r="I105" s="11"/>
      <c r="J105" s="11"/>
      <c r="K105" s="11"/>
      <c r="L105" s="15"/>
      <c r="M105" s="15"/>
      <c r="N105" s="15"/>
      <c r="O105" s="15"/>
      <c r="P105" s="15"/>
      <c r="Q105" s="11"/>
      <c r="R105" s="11"/>
      <c r="S105" s="11"/>
      <c r="T105" s="11"/>
      <c r="U105" s="15"/>
      <c r="V105" s="11"/>
      <c r="W105" s="11"/>
      <c r="X105" s="11"/>
      <c r="Y105" s="11"/>
      <c r="Z105" s="11"/>
    </row>
    <row r="106">
      <c r="A106" s="18"/>
      <c r="B106" s="11"/>
      <c r="C106" s="11"/>
      <c r="D106" s="11"/>
      <c r="E106" s="11"/>
      <c r="F106" s="11"/>
      <c r="G106" s="11"/>
      <c r="H106" s="11"/>
      <c r="I106" s="11"/>
      <c r="J106" s="11"/>
      <c r="K106" s="11"/>
      <c r="L106" s="15"/>
      <c r="M106" s="15"/>
      <c r="N106" s="15"/>
      <c r="O106" s="15"/>
      <c r="P106" s="15"/>
      <c r="Q106" s="11"/>
      <c r="R106" s="11"/>
      <c r="S106" s="11"/>
      <c r="T106" s="11"/>
      <c r="U106" s="15"/>
      <c r="V106" s="11"/>
      <c r="W106" s="11"/>
      <c r="X106" s="11"/>
      <c r="Y106" s="11"/>
      <c r="Z106" s="11"/>
    </row>
    <row r="107">
      <c r="A107" s="18"/>
      <c r="B107" s="11"/>
      <c r="C107" s="11"/>
      <c r="D107" s="11"/>
      <c r="E107" s="11"/>
      <c r="F107" s="11"/>
      <c r="G107" s="11"/>
      <c r="H107" s="11"/>
      <c r="I107" s="11"/>
      <c r="J107" s="11"/>
      <c r="K107" s="11"/>
      <c r="L107" s="15"/>
      <c r="M107" s="15"/>
      <c r="N107" s="15"/>
      <c r="O107" s="15"/>
      <c r="P107" s="15"/>
      <c r="Q107" s="11"/>
      <c r="R107" s="11"/>
      <c r="S107" s="11"/>
      <c r="T107" s="11"/>
      <c r="U107" s="15"/>
      <c r="V107" s="11"/>
      <c r="W107" s="11"/>
      <c r="X107" s="11"/>
      <c r="Y107" s="11"/>
      <c r="Z107" s="11"/>
    </row>
    <row r="108">
      <c r="A108" s="18"/>
      <c r="B108" s="11"/>
      <c r="C108" s="11"/>
      <c r="D108" s="11"/>
      <c r="E108" s="11"/>
      <c r="F108" s="11"/>
      <c r="G108" s="11"/>
      <c r="H108" s="11"/>
      <c r="I108" s="11"/>
      <c r="J108" s="11"/>
      <c r="K108" s="11"/>
      <c r="L108" s="15"/>
      <c r="M108" s="15"/>
      <c r="N108" s="15"/>
      <c r="O108" s="15"/>
      <c r="P108" s="15"/>
      <c r="Q108" s="11"/>
      <c r="R108" s="11"/>
      <c r="S108" s="11"/>
      <c r="T108" s="11"/>
      <c r="U108" s="15"/>
      <c r="V108" s="11"/>
      <c r="W108" s="11"/>
      <c r="X108" s="11"/>
      <c r="Y108" s="11"/>
      <c r="Z108" s="11"/>
    </row>
    <row r="109">
      <c r="A109" s="18"/>
      <c r="B109" s="11"/>
      <c r="C109" s="11"/>
      <c r="D109" s="11"/>
      <c r="E109" s="11"/>
      <c r="F109" s="11"/>
      <c r="G109" s="11"/>
      <c r="H109" s="11"/>
      <c r="I109" s="11"/>
      <c r="J109" s="11"/>
      <c r="K109" s="11"/>
      <c r="L109" s="15"/>
      <c r="M109" s="15"/>
      <c r="N109" s="15"/>
      <c r="O109" s="15"/>
      <c r="P109" s="15"/>
      <c r="Q109" s="11"/>
      <c r="R109" s="11"/>
      <c r="S109" s="11"/>
      <c r="T109" s="11"/>
      <c r="U109" s="15"/>
      <c r="V109" s="11"/>
      <c r="W109" s="11"/>
      <c r="X109" s="11"/>
      <c r="Y109" s="11"/>
      <c r="Z109" s="11"/>
    </row>
    <row r="110">
      <c r="A110" s="18"/>
      <c r="B110" s="11"/>
      <c r="C110" s="11"/>
      <c r="D110" s="11"/>
      <c r="E110" s="11"/>
      <c r="F110" s="11"/>
      <c r="G110" s="11"/>
      <c r="H110" s="11"/>
      <c r="I110" s="11"/>
      <c r="J110" s="11"/>
      <c r="K110" s="11"/>
      <c r="L110" s="15"/>
      <c r="M110" s="15"/>
      <c r="N110" s="15"/>
      <c r="O110" s="15"/>
      <c r="P110" s="15"/>
      <c r="Q110" s="11"/>
      <c r="R110" s="11"/>
      <c r="S110" s="11"/>
      <c r="T110" s="11"/>
      <c r="U110" s="15"/>
      <c r="V110" s="11"/>
      <c r="W110" s="11"/>
      <c r="X110" s="11"/>
      <c r="Y110" s="11"/>
      <c r="Z110" s="11"/>
    </row>
    <row r="111">
      <c r="A111" s="18"/>
      <c r="B111" s="11"/>
      <c r="C111" s="11"/>
      <c r="D111" s="11"/>
      <c r="E111" s="11"/>
      <c r="F111" s="11"/>
      <c r="G111" s="11"/>
      <c r="H111" s="11"/>
      <c r="I111" s="11"/>
      <c r="J111" s="11"/>
      <c r="K111" s="11"/>
      <c r="L111" s="15"/>
      <c r="M111" s="15"/>
      <c r="N111" s="15"/>
      <c r="O111" s="15"/>
      <c r="P111" s="15"/>
      <c r="Q111" s="11"/>
      <c r="R111" s="11"/>
      <c r="S111" s="11"/>
      <c r="T111" s="11"/>
      <c r="U111" s="15"/>
      <c r="V111" s="11"/>
      <c r="W111" s="11"/>
      <c r="X111" s="11"/>
      <c r="Y111" s="11"/>
      <c r="Z111" s="11"/>
    </row>
    <row r="112">
      <c r="A112" s="18"/>
      <c r="B112" s="11"/>
      <c r="C112" s="11"/>
      <c r="D112" s="11"/>
      <c r="E112" s="11"/>
      <c r="F112" s="11"/>
      <c r="G112" s="11"/>
      <c r="H112" s="11"/>
      <c r="I112" s="11"/>
      <c r="J112" s="11"/>
      <c r="K112" s="11"/>
      <c r="L112" s="15"/>
      <c r="M112" s="15"/>
      <c r="N112" s="15"/>
      <c r="O112" s="15"/>
      <c r="P112" s="15"/>
      <c r="Q112" s="11"/>
      <c r="R112" s="11"/>
      <c r="S112" s="11"/>
      <c r="T112" s="11"/>
      <c r="U112" s="15"/>
      <c r="V112" s="11"/>
      <c r="W112" s="11"/>
      <c r="X112" s="11"/>
      <c r="Y112" s="11"/>
      <c r="Z112" s="11"/>
    </row>
    <row r="113">
      <c r="A113" s="18"/>
      <c r="B113" s="11"/>
      <c r="C113" s="11"/>
      <c r="D113" s="11"/>
      <c r="E113" s="11"/>
      <c r="F113" s="11"/>
      <c r="G113" s="11"/>
      <c r="H113" s="11"/>
      <c r="I113" s="11"/>
      <c r="J113" s="11"/>
      <c r="K113" s="11"/>
      <c r="L113" s="15"/>
      <c r="M113" s="15"/>
      <c r="N113" s="15"/>
      <c r="O113" s="15"/>
      <c r="P113" s="15"/>
      <c r="Q113" s="11"/>
      <c r="R113" s="11"/>
      <c r="S113" s="11"/>
      <c r="T113" s="11"/>
      <c r="U113" s="15"/>
      <c r="V113" s="11"/>
      <c r="W113" s="11"/>
      <c r="X113" s="11"/>
      <c r="Y113" s="11"/>
      <c r="Z113" s="11"/>
    </row>
    <row r="114">
      <c r="A114" s="18"/>
      <c r="B114" s="11"/>
      <c r="C114" s="11"/>
      <c r="D114" s="11"/>
      <c r="E114" s="11"/>
      <c r="F114" s="11"/>
      <c r="G114" s="11"/>
      <c r="H114" s="11"/>
      <c r="I114" s="11"/>
      <c r="J114" s="11"/>
      <c r="K114" s="11"/>
      <c r="L114" s="15"/>
      <c r="M114" s="15"/>
      <c r="N114" s="15"/>
      <c r="O114" s="15"/>
      <c r="P114" s="15"/>
      <c r="Q114" s="11"/>
      <c r="R114" s="11"/>
      <c r="S114" s="11"/>
      <c r="T114" s="11"/>
      <c r="U114" s="15"/>
      <c r="V114" s="11"/>
      <c r="W114" s="11"/>
      <c r="X114" s="11"/>
      <c r="Y114" s="11"/>
      <c r="Z114" s="11"/>
    </row>
    <row r="115">
      <c r="A115" s="18"/>
      <c r="B115" s="11"/>
      <c r="C115" s="11"/>
      <c r="D115" s="11"/>
      <c r="E115" s="11"/>
      <c r="F115" s="11"/>
      <c r="G115" s="11"/>
      <c r="H115" s="11"/>
      <c r="I115" s="11"/>
      <c r="J115" s="11"/>
      <c r="K115" s="11"/>
      <c r="L115" s="15"/>
      <c r="M115" s="15"/>
      <c r="N115" s="15"/>
      <c r="O115" s="15"/>
      <c r="P115" s="15"/>
      <c r="Q115" s="11"/>
      <c r="R115" s="11"/>
      <c r="S115" s="11"/>
      <c r="T115" s="11"/>
      <c r="U115" s="15"/>
      <c r="V115" s="11"/>
      <c r="W115" s="11"/>
      <c r="X115" s="11"/>
      <c r="Y115" s="11"/>
      <c r="Z115" s="11"/>
    </row>
    <row r="116">
      <c r="A116" s="18"/>
      <c r="B116" s="11"/>
      <c r="C116" s="11"/>
      <c r="D116" s="11"/>
      <c r="E116" s="11"/>
      <c r="F116" s="11"/>
      <c r="G116" s="11"/>
      <c r="H116" s="11"/>
      <c r="I116" s="11"/>
      <c r="J116" s="11"/>
      <c r="K116" s="11"/>
      <c r="L116" s="15"/>
      <c r="M116" s="15"/>
      <c r="N116" s="15"/>
      <c r="O116" s="15"/>
      <c r="P116" s="15"/>
      <c r="Q116" s="11"/>
      <c r="R116" s="11"/>
      <c r="S116" s="11"/>
      <c r="T116" s="11"/>
      <c r="U116" s="15"/>
      <c r="V116" s="11"/>
      <c r="W116" s="11"/>
      <c r="X116" s="11"/>
      <c r="Y116" s="11"/>
      <c r="Z116" s="11"/>
    </row>
    <row r="117">
      <c r="A117" s="18"/>
      <c r="B117" s="11"/>
      <c r="C117" s="11"/>
      <c r="D117" s="11"/>
      <c r="E117" s="11"/>
      <c r="F117" s="11"/>
      <c r="G117" s="11"/>
      <c r="H117" s="11"/>
      <c r="I117" s="11"/>
      <c r="J117" s="11"/>
      <c r="K117" s="11"/>
      <c r="L117" s="15"/>
      <c r="M117" s="15"/>
      <c r="N117" s="15"/>
      <c r="O117" s="15"/>
      <c r="P117" s="15"/>
      <c r="Q117" s="11"/>
      <c r="R117" s="11"/>
      <c r="S117" s="11"/>
      <c r="T117" s="11"/>
      <c r="U117" s="15"/>
      <c r="V117" s="11"/>
      <c r="W117" s="11"/>
      <c r="X117" s="11"/>
      <c r="Y117" s="11"/>
      <c r="Z117" s="11"/>
    </row>
    <row r="118">
      <c r="A118" s="18"/>
      <c r="B118" s="11"/>
      <c r="C118" s="11"/>
      <c r="D118" s="11"/>
      <c r="E118" s="11"/>
      <c r="F118" s="11"/>
      <c r="G118" s="11"/>
      <c r="H118" s="11"/>
      <c r="I118" s="11"/>
      <c r="J118" s="11"/>
      <c r="K118" s="11"/>
      <c r="L118" s="15"/>
      <c r="M118" s="15"/>
      <c r="N118" s="15"/>
      <c r="O118" s="15"/>
      <c r="P118" s="15"/>
      <c r="Q118" s="11"/>
      <c r="R118" s="11"/>
      <c r="S118" s="11"/>
      <c r="T118" s="11"/>
      <c r="U118" s="15"/>
      <c r="V118" s="11"/>
      <c r="W118" s="11"/>
      <c r="X118" s="11"/>
      <c r="Y118" s="11"/>
      <c r="Z118" s="11"/>
    </row>
    <row r="119">
      <c r="A119" s="18"/>
      <c r="B119" s="11"/>
      <c r="C119" s="11"/>
      <c r="D119" s="11"/>
      <c r="E119" s="11"/>
      <c r="F119" s="11"/>
      <c r="G119" s="11"/>
      <c r="H119" s="11"/>
      <c r="I119" s="11"/>
      <c r="J119" s="11"/>
      <c r="K119" s="11"/>
      <c r="L119" s="15"/>
      <c r="M119" s="15"/>
      <c r="N119" s="15"/>
      <c r="O119" s="15"/>
      <c r="P119" s="15"/>
      <c r="Q119" s="11"/>
      <c r="R119" s="11"/>
      <c r="S119" s="11"/>
      <c r="T119" s="11"/>
      <c r="U119" s="15"/>
      <c r="V119" s="11"/>
      <c r="W119" s="11"/>
      <c r="X119" s="11"/>
      <c r="Y119" s="11"/>
      <c r="Z119" s="11"/>
    </row>
    <row r="120">
      <c r="A120" s="18"/>
      <c r="B120" s="11"/>
      <c r="C120" s="11"/>
      <c r="D120" s="11"/>
      <c r="E120" s="11"/>
      <c r="F120" s="11"/>
      <c r="G120" s="11"/>
      <c r="H120" s="11"/>
      <c r="I120" s="11"/>
      <c r="J120" s="11"/>
      <c r="K120" s="11"/>
      <c r="L120" s="15"/>
      <c r="M120" s="15"/>
      <c r="N120" s="15"/>
      <c r="O120" s="15"/>
      <c r="P120" s="15"/>
      <c r="Q120" s="11"/>
      <c r="R120" s="11"/>
      <c r="S120" s="11"/>
      <c r="T120" s="11"/>
      <c r="U120" s="15"/>
      <c r="V120" s="11"/>
      <c r="W120" s="11"/>
      <c r="X120" s="11"/>
      <c r="Y120" s="11"/>
      <c r="Z120" s="11"/>
    </row>
    <row r="121">
      <c r="A121" s="18"/>
      <c r="B121" s="11"/>
      <c r="C121" s="11"/>
      <c r="D121" s="11"/>
      <c r="E121" s="11"/>
      <c r="F121" s="11"/>
      <c r="G121" s="11"/>
      <c r="H121" s="11"/>
      <c r="I121" s="11"/>
      <c r="J121" s="11"/>
      <c r="K121" s="11"/>
      <c r="L121" s="15"/>
      <c r="M121" s="15"/>
      <c r="N121" s="15"/>
      <c r="O121" s="15"/>
      <c r="P121" s="15"/>
      <c r="Q121" s="11"/>
      <c r="R121" s="11"/>
      <c r="S121" s="11"/>
      <c r="T121" s="11"/>
      <c r="U121" s="15"/>
      <c r="V121" s="11"/>
      <c r="W121" s="11"/>
      <c r="X121" s="11"/>
      <c r="Y121" s="11"/>
      <c r="Z121" s="11"/>
    </row>
    <row r="122">
      <c r="A122" s="18"/>
      <c r="B122" s="11"/>
      <c r="C122" s="11"/>
      <c r="D122" s="11"/>
      <c r="E122" s="11"/>
      <c r="F122" s="11"/>
      <c r="G122" s="11"/>
      <c r="H122" s="11"/>
      <c r="I122" s="11"/>
      <c r="J122" s="11"/>
      <c r="K122" s="11"/>
      <c r="L122" s="15"/>
      <c r="M122" s="15"/>
      <c r="N122" s="15"/>
      <c r="O122" s="15"/>
      <c r="P122" s="15"/>
      <c r="Q122" s="11"/>
      <c r="R122" s="11"/>
      <c r="S122" s="11"/>
      <c r="T122" s="11"/>
      <c r="U122" s="15"/>
      <c r="V122" s="11"/>
      <c r="W122" s="11"/>
      <c r="X122" s="11"/>
      <c r="Y122" s="11"/>
      <c r="Z122" s="11"/>
    </row>
    <row r="123">
      <c r="A123" s="18"/>
      <c r="B123" s="11"/>
      <c r="C123" s="11"/>
      <c r="D123" s="11"/>
      <c r="E123" s="11"/>
      <c r="F123" s="11"/>
      <c r="G123" s="11"/>
      <c r="H123" s="11"/>
      <c r="I123" s="11"/>
      <c r="J123" s="11"/>
      <c r="K123" s="11"/>
      <c r="L123" s="15"/>
      <c r="M123" s="15"/>
      <c r="N123" s="15"/>
      <c r="O123" s="15"/>
      <c r="P123" s="15"/>
      <c r="Q123" s="11"/>
      <c r="R123" s="11"/>
      <c r="S123" s="11"/>
      <c r="T123" s="11"/>
      <c r="U123" s="15"/>
      <c r="V123" s="11"/>
      <c r="W123" s="11"/>
      <c r="X123" s="11"/>
      <c r="Y123" s="11"/>
      <c r="Z123" s="11"/>
    </row>
    <row r="124">
      <c r="A124" s="18"/>
      <c r="B124" s="11"/>
      <c r="C124" s="11"/>
      <c r="D124" s="11"/>
      <c r="E124" s="11"/>
      <c r="F124" s="11"/>
      <c r="G124" s="11"/>
      <c r="H124" s="11"/>
      <c r="I124" s="11"/>
      <c r="J124" s="11"/>
      <c r="K124" s="11"/>
      <c r="L124" s="15"/>
      <c r="M124" s="15"/>
      <c r="N124" s="15"/>
      <c r="O124" s="15"/>
      <c r="P124" s="15"/>
      <c r="Q124" s="11"/>
      <c r="R124" s="11"/>
      <c r="S124" s="11"/>
      <c r="T124" s="11"/>
      <c r="U124" s="15"/>
      <c r="V124" s="11"/>
      <c r="W124" s="11"/>
      <c r="X124" s="11"/>
      <c r="Y124" s="11"/>
      <c r="Z124" s="11"/>
    </row>
    <row r="125">
      <c r="A125" s="18"/>
      <c r="B125" s="11"/>
      <c r="C125" s="11"/>
      <c r="D125" s="11"/>
      <c r="E125" s="11"/>
      <c r="F125" s="11"/>
      <c r="G125" s="11"/>
      <c r="H125" s="11"/>
      <c r="I125" s="11"/>
      <c r="J125" s="11"/>
      <c r="K125" s="11"/>
      <c r="L125" s="15"/>
      <c r="M125" s="15"/>
      <c r="N125" s="15"/>
      <c r="O125" s="15"/>
      <c r="P125" s="15"/>
      <c r="Q125" s="11"/>
      <c r="R125" s="11"/>
      <c r="S125" s="11"/>
      <c r="T125" s="11"/>
      <c r="U125" s="15"/>
      <c r="V125" s="11"/>
      <c r="W125" s="11"/>
      <c r="X125" s="11"/>
      <c r="Y125" s="11"/>
      <c r="Z125" s="11"/>
    </row>
    <row r="126">
      <c r="A126" s="18"/>
      <c r="B126" s="11"/>
      <c r="C126" s="11"/>
      <c r="D126" s="11"/>
      <c r="E126" s="11"/>
      <c r="F126" s="11"/>
      <c r="G126" s="11"/>
      <c r="H126" s="11"/>
      <c r="I126" s="11"/>
      <c r="J126" s="11"/>
      <c r="K126" s="11"/>
      <c r="L126" s="15"/>
      <c r="M126" s="15"/>
      <c r="N126" s="15"/>
      <c r="O126" s="15"/>
      <c r="P126" s="15"/>
      <c r="Q126" s="11"/>
      <c r="R126" s="11"/>
      <c r="S126" s="11"/>
      <c r="T126" s="11"/>
      <c r="U126" s="15"/>
      <c r="V126" s="11"/>
      <c r="W126" s="11"/>
      <c r="X126" s="11"/>
      <c r="Y126" s="11"/>
      <c r="Z126" s="11"/>
    </row>
    <row r="127">
      <c r="A127" s="18"/>
      <c r="B127" s="11"/>
      <c r="C127" s="11"/>
      <c r="D127" s="11"/>
      <c r="E127" s="11"/>
      <c r="F127" s="11"/>
      <c r="G127" s="11"/>
      <c r="H127" s="11"/>
      <c r="I127" s="11"/>
      <c r="J127" s="11"/>
      <c r="K127" s="11"/>
      <c r="L127" s="15"/>
      <c r="M127" s="15"/>
      <c r="N127" s="15"/>
      <c r="O127" s="15"/>
      <c r="P127" s="15"/>
      <c r="Q127" s="11"/>
      <c r="R127" s="11"/>
      <c r="S127" s="11"/>
      <c r="T127" s="11"/>
      <c r="U127" s="15"/>
      <c r="V127" s="11"/>
      <c r="W127" s="11"/>
      <c r="X127" s="11"/>
      <c r="Y127" s="11"/>
      <c r="Z127" s="11"/>
    </row>
    <row r="128">
      <c r="A128" s="18"/>
      <c r="B128" s="11"/>
      <c r="C128" s="11"/>
      <c r="D128" s="11"/>
      <c r="E128" s="11"/>
      <c r="F128" s="11"/>
      <c r="G128" s="11"/>
      <c r="H128" s="11"/>
      <c r="I128" s="11"/>
      <c r="J128" s="11"/>
      <c r="K128" s="11"/>
      <c r="L128" s="15"/>
      <c r="M128" s="15"/>
      <c r="N128" s="15"/>
      <c r="O128" s="15"/>
      <c r="P128" s="15"/>
      <c r="Q128" s="11"/>
      <c r="R128" s="11"/>
      <c r="S128" s="11"/>
      <c r="T128" s="11"/>
      <c r="U128" s="15"/>
      <c r="V128" s="11"/>
      <c r="W128" s="11"/>
      <c r="X128" s="11"/>
      <c r="Y128" s="11"/>
      <c r="Z128" s="11"/>
    </row>
    <row r="129">
      <c r="A129" s="18"/>
      <c r="B129" s="11"/>
      <c r="C129" s="11"/>
      <c r="D129" s="11"/>
      <c r="E129" s="11"/>
      <c r="F129" s="11"/>
      <c r="G129" s="11"/>
      <c r="H129" s="11"/>
      <c r="I129" s="11"/>
      <c r="J129" s="11"/>
      <c r="K129" s="11"/>
      <c r="L129" s="15"/>
      <c r="M129" s="15"/>
      <c r="N129" s="15"/>
      <c r="O129" s="15"/>
      <c r="P129" s="15"/>
      <c r="Q129" s="11"/>
      <c r="R129" s="11"/>
      <c r="S129" s="11"/>
      <c r="T129" s="11"/>
      <c r="U129" s="15"/>
      <c r="V129" s="11"/>
      <c r="W129" s="11"/>
      <c r="X129" s="11"/>
      <c r="Y129" s="11"/>
      <c r="Z129" s="11"/>
    </row>
    <row r="130">
      <c r="A130" s="18"/>
      <c r="B130" s="11"/>
      <c r="C130" s="11"/>
      <c r="D130" s="11"/>
      <c r="E130" s="11"/>
      <c r="F130" s="11"/>
      <c r="G130" s="11"/>
      <c r="H130" s="11"/>
      <c r="I130" s="11"/>
      <c r="J130" s="11"/>
      <c r="K130" s="11"/>
      <c r="L130" s="15"/>
      <c r="M130" s="15"/>
      <c r="N130" s="15"/>
      <c r="O130" s="15"/>
      <c r="P130" s="15"/>
      <c r="Q130" s="11"/>
      <c r="R130" s="11"/>
      <c r="S130" s="11"/>
      <c r="T130" s="11"/>
      <c r="U130" s="15"/>
      <c r="V130" s="11"/>
      <c r="W130" s="11"/>
      <c r="X130" s="11"/>
      <c r="Y130" s="11"/>
      <c r="Z130" s="11"/>
    </row>
    <row r="131">
      <c r="A131" s="18"/>
      <c r="B131" s="11"/>
      <c r="C131" s="11"/>
      <c r="D131" s="11"/>
      <c r="E131" s="11"/>
      <c r="F131" s="11"/>
      <c r="G131" s="11"/>
      <c r="H131" s="11"/>
      <c r="I131" s="11"/>
      <c r="J131" s="11"/>
      <c r="K131" s="11"/>
      <c r="L131" s="15"/>
      <c r="M131" s="15"/>
      <c r="N131" s="15"/>
      <c r="O131" s="15"/>
      <c r="P131" s="15"/>
      <c r="Q131" s="11"/>
      <c r="R131" s="11"/>
      <c r="S131" s="11"/>
      <c r="T131" s="11"/>
      <c r="U131" s="15"/>
      <c r="V131" s="11"/>
      <c r="W131" s="11"/>
      <c r="X131" s="11"/>
      <c r="Y131" s="11"/>
      <c r="Z131" s="11"/>
    </row>
    <row r="132">
      <c r="A132" s="18"/>
      <c r="B132" s="11"/>
      <c r="C132" s="11"/>
      <c r="D132" s="11"/>
      <c r="E132" s="11"/>
      <c r="F132" s="11"/>
      <c r="G132" s="11"/>
      <c r="H132" s="11"/>
      <c r="I132" s="11"/>
      <c r="J132" s="11"/>
      <c r="K132" s="11"/>
      <c r="L132" s="15"/>
      <c r="M132" s="15"/>
      <c r="N132" s="15"/>
      <c r="O132" s="15"/>
      <c r="P132" s="15"/>
      <c r="Q132" s="11"/>
      <c r="R132" s="11"/>
      <c r="S132" s="11"/>
      <c r="T132" s="11"/>
      <c r="U132" s="15"/>
      <c r="V132" s="11"/>
      <c r="W132" s="11"/>
      <c r="X132" s="11"/>
      <c r="Y132" s="11"/>
      <c r="Z132" s="11"/>
    </row>
    <row r="133">
      <c r="A133" s="18"/>
      <c r="B133" s="11"/>
      <c r="C133" s="11"/>
      <c r="D133" s="11"/>
      <c r="E133" s="11"/>
      <c r="F133" s="11"/>
      <c r="G133" s="11"/>
      <c r="H133" s="11"/>
      <c r="I133" s="11"/>
      <c r="J133" s="11"/>
      <c r="K133" s="11"/>
      <c r="L133" s="15"/>
      <c r="M133" s="15"/>
      <c r="N133" s="15"/>
      <c r="O133" s="15"/>
      <c r="P133" s="15"/>
      <c r="Q133" s="11"/>
      <c r="R133" s="11"/>
      <c r="S133" s="11"/>
      <c r="T133" s="11"/>
      <c r="U133" s="15"/>
      <c r="V133" s="11"/>
      <c r="W133" s="11"/>
      <c r="X133" s="11"/>
      <c r="Y133" s="11"/>
      <c r="Z133" s="11"/>
    </row>
    <row r="134">
      <c r="A134" s="18"/>
      <c r="B134" s="11"/>
      <c r="C134" s="11"/>
      <c r="D134" s="11"/>
      <c r="E134" s="11"/>
      <c r="F134" s="11"/>
      <c r="G134" s="11"/>
      <c r="H134" s="11"/>
      <c r="I134" s="11"/>
      <c r="J134" s="11"/>
      <c r="K134" s="11"/>
      <c r="L134" s="15"/>
      <c r="M134" s="15"/>
      <c r="N134" s="15"/>
      <c r="O134" s="15"/>
      <c r="P134" s="15"/>
      <c r="Q134" s="11"/>
      <c r="R134" s="11"/>
      <c r="S134" s="11"/>
      <c r="T134" s="11"/>
      <c r="U134" s="15"/>
      <c r="V134" s="11"/>
      <c r="W134" s="11"/>
      <c r="X134" s="11"/>
      <c r="Y134" s="11"/>
      <c r="Z134" s="11"/>
    </row>
    <row r="135">
      <c r="A135" s="18"/>
      <c r="B135" s="11"/>
      <c r="C135" s="11"/>
      <c r="D135" s="11"/>
      <c r="E135" s="11"/>
      <c r="F135" s="11"/>
      <c r="G135" s="11"/>
      <c r="H135" s="11"/>
      <c r="I135" s="11"/>
      <c r="J135" s="11"/>
      <c r="K135" s="11"/>
      <c r="L135" s="15"/>
      <c r="M135" s="15"/>
      <c r="N135" s="15"/>
      <c r="O135" s="15"/>
      <c r="P135" s="15"/>
      <c r="Q135" s="11"/>
      <c r="R135" s="11"/>
      <c r="S135" s="11"/>
      <c r="T135" s="11"/>
      <c r="U135" s="15"/>
      <c r="V135" s="11"/>
      <c r="W135" s="11"/>
      <c r="X135" s="11"/>
      <c r="Y135" s="11"/>
      <c r="Z135" s="11"/>
    </row>
    <row r="136">
      <c r="A136" s="18"/>
      <c r="B136" s="11"/>
      <c r="C136" s="11"/>
      <c r="D136" s="11"/>
      <c r="E136" s="11"/>
      <c r="F136" s="11"/>
      <c r="G136" s="11"/>
      <c r="H136" s="11"/>
      <c r="I136" s="11"/>
      <c r="J136" s="11"/>
      <c r="K136" s="11"/>
      <c r="L136" s="15"/>
      <c r="M136" s="15"/>
      <c r="N136" s="15"/>
      <c r="O136" s="15"/>
      <c r="P136" s="15"/>
      <c r="Q136" s="11"/>
      <c r="R136" s="11"/>
      <c r="S136" s="11"/>
      <c r="T136" s="11"/>
      <c r="U136" s="15"/>
      <c r="V136" s="11"/>
      <c r="W136" s="11"/>
      <c r="X136" s="11"/>
      <c r="Y136" s="11"/>
      <c r="Z136" s="11"/>
    </row>
    <row r="137">
      <c r="A137" s="18"/>
      <c r="B137" s="11"/>
      <c r="C137" s="11"/>
      <c r="D137" s="11"/>
      <c r="E137" s="11"/>
      <c r="F137" s="11"/>
      <c r="G137" s="11"/>
      <c r="H137" s="11"/>
      <c r="I137" s="11"/>
      <c r="J137" s="11"/>
      <c r="K137" s="11"/>
      <c r="L137" s="15"/>
      <c r="M137" s="15"/>
      <c r="N137" s="15"/>
      <c r="O137" s="15"/>
      <c r="P137" s="15"/>
      <c r="Q137" s="11"/>
      <c r="R137" s="11"/>
      <c r="S137" s="11"/>
      <c r="T137" s="11"/>
      <c r="U137" s="15"/>
      <c r="V137" s="11"/>
      <c r="W137" s="11"/>
      <c r="X137" s="11"/>
      <c r="Y137" s="11"/>
      <c r="Z137" s="11"/>
    </row>
    <row r="138">
      <c r="A138" s="18"/>
      <c r="B138" s="11"/>
      <c r="C138" s="11"/>
      <c r="D138" s="11"/>
      <c r="E138" s="11"/>
      <c r="F138" s="11"/>
      <c r="G138" s="11"/>
      <c r="H138" s="11"/>
      <c r="I138" s="11"/>
      <c r="J138" s="11"/>
      <c r="K138" s="11"/>
      <c r="L138" s="15"/>
      <c r="M138" s="15"/>
      <c r="N138" s="15"/>
      <c r="O138" s="15"/>
      <c r="P138" s="15"/>
      <c r="Q138" s="11"/>
      <c r="R138" s="11"/>
      <c r="S138" s="11"/>
      <c r="T138" s="11"/>
      <c r="U138" s="15"/>
      <c r="V138" s="11"/>
      <c r="W138" s="11"/>
      <c r="X138" s="11"/>
      <c r="Y138" s="11"/>
      <c r="Z138" s="11"/>
    </row>
    <row r="139">
      <c r="A139" s="18"/>
      <c r="B139" s="11"/>
      <c r="C139" s="11"/>
      <c r="D139" s="11"/>
      <c r="E139" s="11"/>
      <c r="F139" s="11"/>
      <c r="G139" s="11"/>
      <c r="H139" s="11"/>
      <c r="I139" s="11"/>
      <c r="J139" s="11"/>
      <c r="K139" s="11"/>
      <c r="L139" s="15"/>
      <c r="M139" s="15"/>
      <c r="N139" s="15"/>
      <c r="O139" s="15"/>
      <c r="P139" s="15"/>
      <c r="Q139" s="11"/>
      <c r="R139" s="11"/>
      <c r="S139" s="11"/>
      <c r="T139" s="11"/>
      <c r="U139" s="15"/>
      <c r="V139" s="11"/>
      <c r="W139" s="11"/>
      <c r="X139" s="11"/>
      <c r="Y139" s="11"/>
      <c r="Z139" s="11"/>
    </row>
    <row r="140">
      <c r="A140" s="18"/>
      <c r="B140" s="11"/>
      <c r="C140" s="11"/>
      <c r="D140" s="11"/>
      <c r="E140" s="11"/>
      <c r="F140" s="11"/>
      <c r="G140" s="11"/>
      <c r="H140" s="11"/>
      <c r="I140" s="11"/>
      <c r="J140" s="11"/>
      <c r="K140" s="11"/>
      <c r="L140" s="15"/>
      <c r="M140" s="15"/>
      <c r="N140" s="15"/>
      <c r="O140" s="15"/>
      <c r="P140" s="15"/>
      <c r="Q140" s="11"/>
      <c r="R140" s="11"/>
      <c r="S140" s="11"/>
      <c r="T140" s="11"/>
      <c r="U140" s="15"/>
      <c r="V140" s="11"/>
      <c r="W140" s="11"/>
      <c r="X140" s="11"/>
      <c r="Y140" s="11"/>
      <c r="Z140" s="11"/>
    </row>
    <row r="141">
      <c r="A141" s="18"/>
      <c r="B141" s="11"/>
      <c r="C141" s="11"/>
      <c r="D141" s="11"/>
      <c r="E141" s="11"/>
      <c r="F141" s="11"/>
      <c r="G141" s="11"/>
      <c r="H141" s="11"/>
      <c r="I141" s="11"/>
      <c r="J141" s="11"/>
      <c r="K141" s="11"/>
      <c r="L141" s="15"/>
      <c r="M141" s="15"/>
      <c r="N141" s="15"/>
      <c r="O141" s="15"/>
      <c r="P141" s="15"/>
      <c r="Q141" s="11"/>
      <c r="R141" s="11"/>
      <c r="S141" s="11"/>
      <c r="T141" s="11"/>
      <c r="U141" s="15"/>
      <c r="V141" s="11"/>
      <c r="W141" s="11"/>
      <c r="X141" s="11"/>
      <c r="Y141" s="11"/>
      <c r="Z141" s="11"/>
    </row>
    <row r="142">
      <c r="A142" s="18"/>
      <c r="B142" s="11"/>
      <c r="C142" s="11"/>
      <c r="D142" s="11"/>
      <c r="E142" s="11"/>
      <c r="F142" s="11"/>
      <c r="G142" s="11"/>
      <c r="H142" s="11"/>
      <c r="I142" s="11"/>
      <c r="J142" s="11"/>
      <c r="K142" s="11"/>
      <c r="L142" s="15"/>
      <c r="M142" s="15"/>
      <c r="N142" s="15"/>
      <c r="O142" s="15"/>
      <c r="P142" s="15"/>
      <c r="Q142" s="11"/>
      <c r="R142" s="11"/>
      <c r="S142" s="11"/>
      <c r="T142" s="11"/>
      <c r="U142" s="15"/>
      <c r="V142" s="11"/>
      <c r="W142" s="11"/>
      <c r="X142" s="11"/>
      <c r="Y142" s="11"/>
      <c r="Z142" s="11"/>
    </row>
    <row r="143">
      <c r="A143" s="18"/>
      <c r="B143" s="11"/>
      <c r="C143" s="11"/>
      <c r="D143" s="11"/>
      <c r="E143" s="11"/>
      <c r="F143" s="11"/>
      <c r="G143" s="11"/>
      <c r="H143" s="11"/>
      <c r="I143" s="11"/>
      <c r="J143" s="11"/>
      <c r="K143" s="11"/>
      <c r="L143" s="15"/>
      <c r="M143" s="15"/>
      <c r="N143" s="15"/>
      <c r="O143" s="15"/>
      <c r="P143" s="15"/>
      <c r="Q143" s="11"/>
      <c r="R143" s="11"/>
      <c r="S143" s="11"/>
      <c r="T143" s="11"/>
      <c r="U143" s="15"/>
      <c r="V143" s="11"/>
      <c r="W143" s="11"/>
      <c r="X143" s="11"/>
      <c r="Y143" s="11"/>
      <c r="Z143" s="11"/>
    </row>
    <row r="144">
      <c r="A144" s="18"/>
      <c r="B144" s="11"/>
      <c r="C144" s="11"/>
      <c r="D144" s="11"/>
      <c r="E144" s="11"/>
      <c r="F144" s="11"/>
      <c r="G144" s="11"/>
      <c r="H144" s="11"/>
      <c r="I144" s="11"/>
      <c r="J144" s="11"/>
      <c r="K144" s="11"/>
      <c r="L144" s="15"/>
      <c r="M144" s="15"/>
      <c r="N144" s="15"/>
      <c r="O144" s="15"/>
      <c r="P144" s="15"/>
      <c r="Q144" s="11"/>
      <c r="R144" s="11"/>
      <c r="S144" s="11"/>
      <c r="T144" s="11"/>
      <c r="U144" s="15"/>
      <c r="V144" s="11"/>
      <c r="W144" s="11"/>
      <c r="X144" s="11"/>
      <c r="Y144" s="11"/>
      <c r="Z144" s="11"/>
    </row>
    <row r="145">
      <c r="A145" s="18"/>
      <c r="B145" s="11"/>
      <c r="C145" s="11"/>
      <c r="D145" s="11"/>
      <c r="E145" s="11"/>
      <c r="F145" s="11"/>
      <c r="G145" s="11"/>
      <c r="H145" s="11"/>
      <c r="I145" s="11"/>
      <c r="J145" s="11"/>
      <c r="K145" s="11"/>
      <c r="L145" s="15"/>
      <c r="M145" s="15"/>
      <c r="N145" s="15"/>
      <c r="O145" s="15"/>
      <c r="P145" s="15"/>
      <c r="Q145" s="11"/>
      <c r="R145" s="11"/>
      <c r="S145" s="11"/>
      <c r="T145" s="11"/>
      <c r="U145" s="15"/>
      <c r="V145" s="11"/>
      <c r="W145" s="11"/>
      <c r="X145" s="11"/>
      <c r="Y145" s="11"/>
      <c r="Z145" s="11"/>
    </row>
    <row r="146">
      <c r="A146" s="18"/>
      <c r="B146" s="11"/>
      <c r="C146" s="11"/>
      <c r="D146" s="11"/>
      <c r="E146" s="11"/>
      <c r="F146" s="11"/>
      <c r="G146" s="11"/>
      <c r="H146" s="11"/>
      <c r="I146" s="11"/>
      <c r="J146" s="11"/>
      <c r="K146" s="11"/>
      <c r="L146" s="15"/>
      <c r="M146" s="15"/>
      <c r="N146" s="15"/>
      <c r="O146" s="15"/>
      <c r="P146" s="15"/>
      <c r="Q146" s="11"/>
      <c r="R146" s="11"/>
      <c r="S146" s="11"/>
      <c r="T146" s="11"/>
      <c r="U146" s="15"/>
      <c r="V146" s="11"/>
      <c r="W146" s="11"/>
      <c r="X146" s="11"/>
      <c r="Y146" s="11"/>
      <c r="Z146" s="11"/>
    </row>
    <row r="147">
      <c r="A147" s="18"/>
      <c r="B147" s="11"/>
      <c r="C147" s="11"/>
      <c r="D147" s="11"/>
      <c r="E147" s="11"/>
      <c r="F147" s="11"/>
      <c r="G147" s="11"/>
      <c r="H147" s="11"/>
      <c r="I147" s="11"/>
      <c r="J147" s="11"/>
      <c r="K147" s="11"/>
      <c r="L147" s="15"/>
      <c r="M147" s="15"/>
      <c r="N147" s="15"/>
      <c r="O147" s="15"/>
      <c r="P147" s="15"/>
      <c r="Q147" s="11"/>
      <c r="R147" s="11"/>
      <c r="S147" s="11"/>
      <c r="T147" s="11"/>
      <c r="U147" s="15"/>
      <c r="V147" s="11"/>
      <c r="W147" s="11"/>
      <c r="X147" s="11"/>
      <c r="Y147" s="11"/>
      <c r="Z147" s="11"/>
    </row>
    <row r="148">
      <c r="A148" s="18"/>
      <c r="B148" s="11"/>
      <c r="C148" s="11"/>
      <c r="D148" s="11"/>
      <c r="E148" s="11"/>
      <c r="F148" s="11"/>
      <c r="G148" s="11"/>
      <c r="H148" s="11"/>
      <c r="I148" s="11"/>
      <c r="J148" s="11"/>
      <c r="K148" s="11"/>
      <c r="L148" s="15"/>
      <c r="M148" s="15"/>
      <c r="N148" s="15"/>
      <c r="O148" s="15"/>
      <c r="P148" s="15"/>
      <c r="Q148" s="11"/>
      <c r="R148" s="11"/>
      <c r="S148" s="11"/>
      <c r="T148" s="11"/>
      <c r="U148" s="15"/>
      <c r="V148" s="11"/>
      <c r="W148" s="11"/>
      <c r="X148" s="11"/>
      <c r="Y148" s="11"/>
      <c r="Z148" s="11"/>
    </row>
    <row r="149">
      <c r="A149" s="18"/>
      <c r="B149" s="11"/>
      <c r="C149" s="11"/>
      <c r="D149" s="11"/>
      <c r="E149" s="11"/>
      <c r="F149" s="11"/>
      <c r="G149" s="11"/>
      <c r="H149" s="11"/>
      <c r="I149" s="11"/>
      <c r="J149" s="11"/>
      <c r="K149" s="11"/>
      <c r="L149" s="15"/>
      <c r="M149" s="15"/>
      <c r="N149" s="15"/>
      <c r="O149" s="15"/>
      <c r="P149" s="15"/>
      <c r="Q149" s="11"/>
      <c r="R149" s="11"/>
      <c r="S149" s="11"/>
      <c r="T149" s="11"/>
      <c r="U149" s="15"/>
      <c r="V149" s="11"/>
      <c r="W149" s="11"/>
      <c r="X149" s="11"/>
      <c r="Y149" s="11"/>
      <c r="Z149" s="11"/>
    </row>
    <row r="150">
      <c r="A150" s="18"/>
      <c r="B150" s="11"/>
      <c r="C150" s="11"/>
      <c r="D150" s="11"/>
      <c r="E150" s="11"/>
      <c r="F150" s="11"/>
      <c r="G150" s="11"/>
      <c r="H150" s="11"/>
      <c r="I150" s="11"/>
      <c r="J150" s="11"/>
      <c r="K150" s="11"/>
      <c r="L150" s="15"/>
      <c r="M150" s="15"/>
      <c r="N150" s="15"/>
      <c r="O150" s="15"/>
      <c r="P150" s="15"/>
      <c r="Q150" s="11"/>
      <c r="R150" s="11"/>
      <c r="S150" s="11"/>
      <c r="T150" s="11"/>
      <c r="U150" s="15"/>
      <c r="V150" s="11"/>
      <c r="W150" s="11"/>
      <c r="X150" s="11"/>
      <c r="Y150" s="11"/>
      <c r="Z150" s="11"/>
    </row>
    <row r="151">
      <c r="A151" s="18"/>
      <c r="B151" s="11"/>
      <c r="C151" s="11"/>
      <c r="D151" s="11"/>
      <c r="E151" s="11"/>
      <c r="F151" s="11"/>
      <c r="G151" s="11"/>
      <c r="H151" s="11"/>
      <c r="I151" s="11"/>
      <c r="J151" s="11"/>
      <c r="K151" s="11"/>
      <c r="L151" s="15"/>
      <c r="M151" s="15"/>
      <c r="N151" s="15"/>
      <c r="O151" s="15"/>
      <c r="P151" s="15"/>
      <c r="Q151" s="11"/>
      <c r="R151" s="11"/>
      <c r="S151" s="11"/>
      <c r="T151" s="11"/>
      <c r="U151" s="15"/>
      <c r="V151" s="11"/>
      <c r="W151" s="11"/>
      <c r="X151" s="11"/>
      <c r="Y151" s="11"/>
      <c r="Z151" s="11"/>
    </row>
    <row r="152">
      <c r="A152" s="18"/>
      <c r="B152" s="11"/>
      <c r="C152" s="11"/>
      <c r="D152" s="11"/>
      <c r="E152" s="11"/>
      <c r="F152" s="11"/>
      <c r="G152" s="11"/>
      <c r="H152" s="11"/>
      <c r="I152" s="11"/>
      <c r="J152" s="11"/>
      <c r="K152" s="11"/>
      <c r="L152" s="15"/>
      <c r="M152" s="15"/>
      <c r="N152" s="15"/>
      <c r="O152" s="15"/>
      <c r="P152" s="15"/>
      <c r="Q152" s="11"/>
      <c r="R152" s="11"/>
      <c r="S152" s="11"/>
      <c r="T152" s="11"/>
      <c r="U152" s="15"/>
      <c r="V152" s="11"/>
      <c r="W152" s="11"/>
      <c r="X152" s="11"/>
      <c r="Y152" s="11"/>
      <c r="Z152" s="11"/>
    </row>
    <row r="153">
      <c r="A153" s="18"/>
      <c r="B153" s="11"/>
      <c r="C153" s="11"/>
      <c r="D153" s="11"/>
      <c r="E153" s="11"/>
      <c r="F153" s="11"/>
      <c r="G153" s="11"/>
      <c r="H153" s="11"/>
      <c r="I153" s="11"/>
      <c r="J153" s="11"/>
      <c r="K153" s="11"/>
      <c r="L153" s="15"/>
      <c r="M153" s="15"/>
      <c r="N153" s="15"/>
      <c r="O153" s="15"/>
      <c r="P153" s="15"/>
      <c r="Q153" s="11"/>
      <c r="R153" s="11"/>
      <c r="S153" s="11"/>
      <c r="T153" s="11"/>
      <c r="U153" s="15"/>
      <c r="V153" s="11"/>
      <c r="W153" s="11"/>
      <c r="X153" s="11"/>
      <c r="Y153" s="11"/>
      <c r="Z153" s="11"/>
    </row>
    <row r="154">
      <c r="A154" s="18"/>
      <c r="B154" s="11"/>
      <c r="C154" s="11"/>
      <c r="D154" s="11"/>
      <c r="E154" s="11"/>
      <c r="F154" s="11"/>
      <c r="G154" s="11"/>
      <c r="H154" s="11"/>
      <c r="I154" s="11"/>
      <c r="J154" s="11"/>
      <c r="K154" s="11"/>
      <c r="L154" s="15"/>
      <c r="M154" s="15"/>
      <c r="N154" s="15"/>
      <c r="O154" s="15"/>
      <c r="P154" s="15"/>
      <c r="Q154" s="11"/>
      <c r="R154" s="11"/>
      <c r="S154" s="11"/>
      <c r="T154" s="11"/>
      <c r="U154" s="15"/>
      <c r="V154" s="11"/>
      <c r="W154" s="11"/>
      <c r="X154" s="11"/>
      <c r="Y154" s="11"/>
      <c r="Z154" s="11"/>
    </row>
    <row r="155">
      <c r="A155" s="18"/>
      <c r="B155" s="11"/>
      <c r="C155" s="11"/>
      <c r="D155" s="11"/>
      <c r="E155" s="11"/>
      <c r="F155" s="11"/>
      <c r="G155" s="11"/>
      <c r="H155" s="11"/>
      <c r="I155" s="11"/>
      <c r="J155" s="11"/>
      <c r="K155" s="11"/>
      <c r="L155" s="15"/>
      <c r="M155" s="15"/>
      <c r="N155" s="15"/>
      <c r="O155" s="15"/>
      <c r="P155" s="15"/>
      <c r="Q155" s="11"/>
      <c r="R155" s="11"/>
      <c r="S155" s="11"/>
      <c r="T155" s="11"/>
      <c r="U155" s="15"/>
      <c r="V155" s="11"/>
      <c r="W155" s="11"/>
      <c r="X155" s="11"/>
      <c r="Y155" s="11"/>
      <c r="Z155" s="11"/>
    </row>
    <row r="156">
      <c r="A156" s="18"/>
      <c r="B156" s="11"/>
      <c r="C156" s="11"/>
      <c r="D156" s="11"/>
      <c r="E156" s="11"/>
      <c r="F156" s="11"/>
      <c r="G156" s="11"/>
      <c r="H156" s="11"/>
      <c r="I156" s="11"/>
      <c r="J156" s="11"/>
      <c r="K156" s="11"/>
      <c r="L156" s="15"/>
      <c r="M156" s="15"/>
      <c r="N156" s="15"/>
      <c r="O156" s="15"/>
      <c r="P156" s="15"/>
      <c r="Q156" s="11"/>
      <c r="R156" s="11"/>
      <c r="S156" s="11"/>
      <c r="T156" s="11"/>
      <c r="U156" s="15"/>
      <c r="V156" s="11"/>
      <c r="W156" s="11"/>
      <c r="X156" s="11"/>
      <c r="Y156" s="11"/>
      <c r="Z156" s="11"/>
    </row>
    <row r="157">
      <c r="A157" s="18"/>
      <c r="B157" s="11"/>
      <c r="C157" s="11"/>
      <c r="D157" s="11"/>
      <c r="E157" s="11"/>
      <c r="F157" s="11"/>
      <c r="G157" s="11"/>
      <c r="H157" s="11"/>
      <c r="I157" s="11"/>
      <c r="J157" s="11"/>
      <c r="K157" s="11"/>
      <c r="L157" s="15"/>
      <c r="M157" s="15"/>
      <c r="N157" s="15"/>
      <c r="O157" s="15"/>
      <c r="P157" s="15"/>
      <c r="Q157" s="11"/>
      <c r="R157" s="11"/>
      <c r="S157" s="11"/>
      <c r="T157" s="11"/>
      <c r="U157" s="15"/>
      <c r="V157" s="11"/>
      <c r="W157" s="11"/>
      <c r="X157" s="11"/>
      <c r="Y157" s="11"/>
      <c r="Z157" s="11"/>
    </row>
    <row r="158">
      <c r="A158" s="18"/>
      <c r="B158" s="11"/>
      <c r="C158" s="11"/>
      <c r="D158" s="11"/>
      <c r="E158" s="11"/>
      <c r="F158" s="11"/>
      <c r="G158" s="11"/>
      <c r="H158" s="11"/>
      <c r="I158" s="11"/>
      <c r="J158" s="11"/>
      <c r="K158" s="11"/>
      <c r="L158" s="15"/>
      <c r="M158" s="15"/>
      <c r="N158" s="15"/>
      <c r="O158" s="15"/>
      <c r="P158" s="15"/>
      <c r="Q158" s="11"/>
      <c r="R158" s="11"/>
      <c r="S158" s="11"/>
      <c r="T158" s="11"/>
      <c r="U158" s="15"/>
      <c r="V158" s="11"/>
      <c r="W158" s="11"/>
      <c r="X158" s="11"/>
      <c r="Y158" s="11"/>
      <c r="Z158" s="11"/>
    </row>
    <row r="159">
      <c r="A159" s="18"/>
      <c r="B159" s="11"/>
      <c r="C159" s="11"/>
      <c r="D159" s="11"/>
      <c r="E159" s="11"/>
      <c r="F159" s="11"/>
      <c r="G159" s="11"/>
      <c r="H159" s="11"/>
      <c r="I159" s="11"/>
      <c r="J159" s="11"/>
      <c r="K159" s="11"/>
      <c r="L159" s="15"/>
      <c r="M159" s="15"/>
      <c r="N159" s="15"/>
      <c r="O159" s="15"/>
      <c r="P159" s="15"/>
      <c r="Q159" s="11"/>
      <c r="R159" s="11"/>
      <c r="S159" s="11"/>
      <c r="T159" s="11"/>
      <c r="U159" s="15"/>
      <c r="V159" s="11"/>
      <c r="W159" s="11"/>
      <c r="X159" s="11"/>
      <c r="Y159" s="11"/>
      <c r="Z159" s="11"/>
    </row>
    <row r="160">
      <c r="A160" s="18"/>
      <c r="B160" s="11"/>
      <c r="C160" s="11"/>
      <c r="D160" s="11"/>
      <c r="E160" s="11"/>
      <c r="F160" s="11"/>
      <c r="G160" s="11"/>
      <c r="H160" s="11"/>
      <c r="I160" s="11"/>
      <c r="J160" s="11"/>
      <c r="K160" s="11"/>
      <c r="L160" s="15"/>
      <c r="M160" s="15"/>
      <c r="N160" s="15"/>
      <c r="O160" s="15"/>
      <c r="P160" s="15"/>
      <c r="Q160" s="11"/>
      <c r="R160" s="11"/>
      <c r="S160" s="11"/>
      <c r="T160" s="11"/>
      <c r="U160" s="15"/>
      <c r="V160" s="11"/>
      <c r="W160" s="11"/>
      <c r="X160" s="11"/>
      <c r="Y160" s="11"/>
      <c r="Z160" s="11"/>
    </row>
    <row r="161">
      <c r="A161" s="18"/>
      <c r="B161" s="11"/>
      <c r="C161" s="11"/>
      <c r="D161" s="11"/>
      <c r="E161" s="11"/>
      <c r="F161" s="11"/>
      <c r="G161" s="11"/>
      <c r="H161" s="11"/>
      <c r="I161" s="11"/>
      <c r="J161" s="11"/>
      <c r="K161" s="11"/>
      <c r="L161" s="15"/>
      <c r="M161" s="15"/>
      <c r="N161" s="15"/>
      <c r="O161" s="15"/>
      <c r="P161" s="15"/>
      <c r="Q161" s="11"/>
      <c r="R161" s="11"/>
      <c r="S161" s="11"/>
      <c r="T161" s="11"/>
      <c r="U161" s="15"/>
      <c r="V161" s="11"/>
      <c r="W161" s="11"/>
      <c r="X161" s="11"/>
      <c r="Y161" s="11"/>
      <c r="Z161" s="11"/>
    </row>
    <row r="162">
      <c r="A162" s="18"/>
      <c r="B162" s="11"/>
      <c r="C162" s="11"/>
      <c r="D162" s="11"/>
      <c r="E162" s="11"/>
      <c r="F162" s="11"/>
      <c r="G162" s="11"/>
      <c r="H162" s="11"/>
      <c r="I162" s="11"/>
      <c r="J162" s="11"/>
      <c r="K162" s="11"/>
      <c r="L162" s="15"/>
      <c r="M162" s="15"/>
      <c r="N162" s="15"/>
      <c r="O162" s="15"/>
      <c r="P162" s="15"/>
      <c r="Q162" s="11"/>
      <c r="R162" s="11"/>
      <c r="S162" s="11"/>
      <c r="T162" s="11"/>
      <c r="U162" s="15"/>
      <c r="V162" s="11"/>
      <c r="W162" s="11"/>
      <c r="X162" s="11"/>
      <c r="Y162" s="11"/>
      <c r="Z162" s="11"/>
    </row>
    <row r="163">
      <c r="A163" s="18"/>
      <c r="B163" s="11"/>
      <c r="C163" s="11"/>
      <c r="D163" s="11"/>
      <c r="E163" s="11"/>
      <c r="F163" s="11"/>
      <c r="G163" s="11"/>
      <c r="H163" s="11"/>
      <c r="I163" s="11"/>
      <c r="J163" s="11"/>
      <c r="K163" s="11"/>
      <c r="L163" s="15"/>
      <c r="M163" s="15"/>
      <c r="N163" s="15"/>
      <c r="O163" s="15"/>
      <c r="P163" s="15"/>
      <c r="Q163" s="11"/>
      <c r="R163" s="11"/>
      <c r="S163" s="11"/>
      <c r="T163" s="11"/>
      <c r="U163" s="15"/>
      <c r="V163" s="11"/>
      <c r="W163" s="11"/>
      <c r="X163" s="11"/>
      <c r="Y163" s="11"/>
      <c r="Z163" s="11"/>
    </row>
    <row r="164">
      <c r="A164" s="18"/>
      <c r="B164" s="11"/>
      <c r="C164" s="11"/>
      <c r="D164" s="11"/>
      <c r="E164" s="11"/>
      <c r="F164" s="11"/>
      <c r="G164" s="11"/>
      <c r="H164" s="11"/>
      <c r="I164" s="11"/>
      <c r="J164" s="11"/>
      <c r="K164" s="11"/>
      <c r="L164" s="15"/>
      <c r="M164" s="15"/>
      <c r="N164" s="15"/>
      <c r="O164" s="15"/>
      <c r="P164" s="15"/>
      <c r="Q164" s="11"/>
      <c r="R164" s="11"/>
      <c r="S164" s="11"/>
      <c r="T164" s="11"/>
      <c r="U164" s="15"/>
      <c r="V164" s="11"/>
      <c r="W164" s="11"/>
      <c r="X164" s="11"/>
      <c r="Y164" s="11"/>
      <c r="Z164" s="11"/>
    </row>
    <row r="165">
      <c r="A165" s="18"/>
      <c r="B165" s="11"/>
      <c r="C165" s="11"/>
      <c r="D165" s="11"/>
      <c r="E165" s="11"/>
      <c r="F165" s="11"/>
      <c r="G165" s="11"/>
      <c r="H165" s="11"/>
      <c r="I165" s="11"/>
      <c r="J165" s="11"/>
      <c r="K165" s="11"/>
      <c r="L165" s="15"/>
      <c r="M165" s="15"/>
      <c r="N165" s="15"/>
      <c r="O165" s="15"/>
      <c r="P165" s="15"/>
      <c r="Q165" s="11"/>
      <c r="R165" s="11"/>
      <c r="S165" s="11"/>
      <c r="T165" s="11"/>
      <c r="U165" s="15"/>
      <c r="V165" s="11"/>
      <c r="W165" s="11"/>
      <c r="X165" s="11"/>
      <c r="Y165" s="11"/>
      <c r="Z165" s="11"/>
    </row>
    <row r="166">
      <c r="A166" s="18"/>
      <c r="B166" s="11"/>
      <c r="C166" s="11"/>
      <c r="D166" s="11"/>
      <c r="E166" s="11"/>
      <c r="F166" s="11"/>
      <c r="G166" s="11"/>
      <c r="H166" s="11"/>
      <c r="I166" s="11"/>
      <c r="J166" s="11"/>
      <c r="K166" s="11"/>
      <c r="L166" s="15"/>
      <c r="M166" s="15"/>
      <c r="N166" s="15"/>
      <c r="O166" s="15"/>
      <c r="P166" s="15"/>
      <c r="Q166" s="11"/>
      <c r="R166" s="11"/>
      <c r="S166" s="11"/>
      <c r="T166" s="11"/>
      <c r="U166" s="15"/>
      <c r="V166" s="11"/>
      <c r="W166" s="11"/>
      <c r="X166" s="11"/>
      <c r="Y166" s="11"/>
      <c r="Z166" s="11"/>
    </row>
    <row r="167">
      <c r="A167" s="18"/>
      <c r="B167" s="11"/>
      <c r="C167" s="11"/>
      <c r="D167" s="11"/>
      <c r="E167" s="11"/>
      <c r="F167" s="11"/>
      <c r="G167" s="11"/>
      <c r="H167" s="11"/>
      <c r="I167" s="11"/>
      <c r="J167" s="11"/>
      <c r="K167" s="11"/>
      <c r="L167" s="15"/>
      <c r="M167" s="15"/>
      <c r="N167" s="15"/>
      <c r="O167" s="15"/>
      <c r="P167" s="15"/>
      <c r="Q167" s="11"/>
      <c r="R167" s="11"/>
      <c r="S167" s="11"/>
      <c r="T167" s="11"/>
      <c r="U167" s="15"/>
      <c r="V167" s="11"/>
      <c r="W167" s="11"/>
      <c r="X167" s="11"/>
      <c r="Y167" s="11"/>
      <c r="Z167" s="11"/>
    </row>
    <row r="168">
      <c r="A168" s="18"/>
      <c r="B168" s="11"/>
      <c r="C168" s="11"/>
      <c r="D168" s="11"/>
      <c r="E168" s="11"/>
      <c r="F168" s="11"/>
      <c r="G168" s="11"/>
      <c r="H168" s="11"/>
      <c r="I168" s="11"/>
      <c r="J168" s="11"/>
      <c r="K168" s="11"/>
      <c r="L168" s="15"/>
      <c r="M168" s="15"/>
      <c r="N168" s="15"/>
      <c r="O168" s="15"/>
      <c r="P168" s="15"/>
      <c r="Q168" s="11"/>
      <c r="R168" s="11"/>
      <c r="S168" s="11"/>
      <c r="T168" s="11"/>
      <c r="U168" s="15"/>
      <c r="V168" s="11"/>
      <c r="W168" s="11"/>
      <c r="X168" s="11"/>
      <c r="Y168" s="11"/>
      <c r="Z168" s="11"/>
    </row>
    <row r="169">
      <c r="A169" s="18"/>
      <c r="B169" s="11"/>
      <c r="C169" s="11"/>
      <c r="D169" s="11"/>
      <c r="E169" s="11"/>
      <c r="F169" s="11"/>
      <c r="G169" s="11"/>
      <c r="H169" s="11"/>
      <c r="I169" s="11"/>
      <c r="J169" s="11"/>
      <c r="K169" s="11"/>
      <c r="L169" s="15"/>
      <c r="M169" s="15"/>
      <c r="N169" s="15"/>
      <c r="O169" s="15"/>
      <c r="P169" s="15"/>
      <c r="Q169" s="11"/>
      <c r="R169" s="11"/>
      <c r="S169" s="11"/>
      <c r="T169" s="11"/>
      <c r="U169" s="15"/>
      <c r="V169" s="11"/>
      <c r="W169" s="11"/>
      <c r="X169" s="11"/>
      <c r="Y169" s="11"/>
      <c r="Z169" s="11"/>
    </row>
    <row r="170">
      <c r="A170" s="18"/>
      <c r="B170" s="11"/>
      <c r="C170" s="11"/>
      <c r="D170" s="11"/>
      <c r="E170" s="11"/>
      <c r="F170" s="11"/>
      <c r="G170" s="11"/>
      <c r="H170" s="11"/>
      <c r="I170" s="11"/>
      <c r="J170" s="11"/>
      <c r="K170" s="11"/>
      <c r="L170" s="15"/>
      <c r="M170" s="15"/>
      <c r="N170" s="15"/>
      <c r="O170" s="15"/>
      <c r="P170" s="15"/>
      <c r="Q170" s="11"/>
      <c r="R170" s="11"/>
      <c r="S170" s="11"/>
      <c r="T170" s="11"/>
      <c r="U170" s="15"/>
      <c r="V170" s="11"/>
      <c r="W170" s="11"/>
      <c r="X170" s="11"/>
      <c r="Y170" s="11"/>
      <c r="Z170" s="11"/>
    </row>
    <row r="171">
      <c r="A171" s="18"/>
      <c r="B171" s="11"/>
      <c r="C171" s="11"/>
      <c r="D171" s="11"/>
      <c r="E171" s="11"/>
      <c r="F171" s="11"/>
      <c r="G171" s="11"/>
      <c r="H171" s="11"/>
      <c r="I171" s="11"/>
      <c r="J171" s="11"/>
      <c r="K171" s="11"/>
      <c r="L171" s="15"/>
      <c r="M171" s="15"/>
      <c r="N171" s="15"/>
      <c r="O171" s="15"/>
      <c r="P171" s="15"/>
      <c r="Q171" s="11"/>
      <c r="R171" s="11"/>
      <c r="S171" s="11"/>
      <c r="T171" s="11"/>
      <c r="U171" s="15"/>
      <c r="V171" s="11"/>
      <c r="W171" s="11"/>
      <c r="X171" s="11"/>
      <c r="Y171" s="11"/>
      <c r="Z171" s="11"/>
    </row>
    <row r="172">
      <c r="A172" s="18"/>
      <c r="B172" s="11"/>
      <c r="C172" s="11"/>
      <c r="D172" s="11"/>
      <c r="E172" s="11"/>
      <c r="F172" s="11"/>
      <c r="G172" s="11"/>
      <c r="H172" s="11"/>
      <c r="I172" s="11"/>
      <c r="J172" s="11"/>
      <c r="K172" s="11"/>
      <c r="L172" s="15"/>
      <c r="M172" s="15"/>
      <c r="N172" s="15"/>
      <c r="O172" s="15"/>
      <c r="P172" s="15"/>
      <c r="Q172" s="11"/>
      <c r="R172" s="11"/>
      <c r="S172" s="11"/>
      <c r="T172" s="11"/>
      <c r="U172" s="15"/>
      <c r="V172" s="11"/>
      <c r="W172" s="11"/>
      <c r="X172" s="11"/>
      <c r="Y172" s="11"/>
      <c r="Z172" s="11"/>
    </row>
    <row r="173">
      <c r="A173" s="18"/>
      <c r="B173" s="11"/>
      <c r="C173" s="11"/>
      <c r="D173" s="11"/>
      <c r="E173" s="11"/>
      <c r="F173" s="11"/>
      <c r="G173" s="11"/>
      <c r="H173" s="11"/>
      <c r="I173" s="11"/>
      <c r="J173" s="11"/>
      <c r="K173" s="11"/>
      <c r="L173" s="15"/>
      <c r="M173" s="15"/>
      <c r="N173" s="15"/>
      <c r="O173" s="15"/>
      <c r="P173" s="15"/>
      <c r="Q173" s="11"/>
      <c r="R173" s="11"/>
      <c r="S173" s="11"/>
      <c r="T173" s="11"/>
      <c r="U173" s="15"/>
      <c r="V173" s="11"/>
      <c r="W173" s="11"/>
      <c r="X173" s="11"/>
      <c r="Y173" s="11"/>
      <c r="Z173" s="11"/>
    </row>
    <row r="174">
      <c r="A174" s="18"/>
      <c r="B174" s="11"/>
      <c r="C174" s="11"/>
      <c r="D174" s="11"/>
      <c r="E174" s="11"/>
      <c r="F174" s="11"/>
      <c r="G174" s="11"/>
      <c r="H174" s="11"/>
      <c r="I174" s="11"/>
      <c r="J174" s="11"/>
      <c r="K174" s="11"/>
      <c r="L174" s="15"/>
      <c r="M174" s="15"/>
      <c r="N174" s="15"/>
      <c r="O174" s="15"/>
      <c r="P174" s="15"/>
      <c r="Q174" s="11"/>
      <c r="R174" s="11"/>
      <c r="S174" s="11"/>
      <c r="T174" s="11"/>
      <c r="U174" s="15"/>
      <c r="V174" s="11"/>
      <c r="W174" s="11"/>
      <c r="X174" s="11"/>
      <c r="Y174" s="11"/>
      <c r="Z174" s="11"/>
    </row>
    <row r="175">
      <c r="A175" s="18"/>
      <c r="B175" s="11"/>
      <c r="C175" s="11"/>
      <c r="D175" s="11"/>
      <c r="E175" s="11"/>
      <c r="F175" s="11"/>
      <c r="G175" s="11"/>
      <c r="H175" s="11"/>
      <c r="I175" s="11"/>
      <c r="J175" s="11"/>
      <c r="K175" s="11"/>
      <c r="L175" s="15"/>
      <c r="M175" s="15"/>
      <c r="N175" s="15"/>
      <c r="O175" s="15"/>
      <c r="P175" s="15"/>
      <c r="Q175" s="11"/>
      <c r="R175" s="11"/>
      <c r="S175" s="11"/>
      <c r="T175" s="11"/>
      <c r="U175" s="15"/>
      <c r="V175" s="11"/>
      <c r="W175" s="11"/>
      <c r="X175" s="11"/>
      <c r="Y175" s="11"/>
      <c r="Z175" s="11"/>
    </row>
    <row r="176">
      <c r="A176" s="18"/>
      <c r="B176" s="11"/>
      <c r="C176" s="11"/>
      <c r="D176" s="11"/>
      <c r="E176" s="11"/>
      <c r="F176" s="11"/>
      <c r="G176" s="11"/>
      <c r="H176" s="11"/>
      <c r="I176" s="11"/>
      <c r="J176" s="11"/>
      <c r="K176" s="11"/>
      <c r="L176" s="15"/>
      <c r="M176" s="15"/>
      <c r="N176" s="15"/>
      <c r="O176" s="15"/>
      <c r="P176" s="15"/>
      <c r="Q176" s="11"/>
      <c r="R176" s="11"/>
      <c r="S176" s="11"/>
      <c r="T176" s="11"/>
      <c r="U176" s="15"/>
      <c r="V176" s="11"/>
      <c r="W176" s="11"/>
      <c r="X176" s="11"/>
      <c r="Y176" s="11"/>
      <c r="Z176" s="11"/>
    </row>
    <row r="177">
      <c r="A177" s="18"/>
      <c r="B177" s="11"/>
      <c r="C177" s="11"/>
      <c r="D177" s="11"/>
      <c r="E177" s="11"/>
      <c r="F177" s="11"/>
      <c r="G177" s="11"/>
      <c r="H177" s="11"/>
      <c r="I177" s="11"/>
      <c r="J177" s="11"/>
      <c r="K177" s="11"/>
      <c r="L177" s="15"/>
      <c r="M177" s="15"/>
      <c r="N177" s="15"/>
      <c r="O177" s="15"/>
      <c r="P177" s="15"/>
      <c r="Q177" s="11"/>
      <c r="R177" s="11"/>
      <c r="S177" s="11"/>
      <c r="T177" s="11"/>
      <c r="U177" s="15"/>
      <c r="V177" s="11"/>
      <c r="W177" s="11"/>
      <c r="X177" s="11"/>
      <c r="Y177" s="11"/>
      <c r="Z177" s="11"/>
    </row>
    <row r="178">
      <c r="A178" s="18"/>
      <c r="B178" s="11"/>
      <c r="C178" s="11"/>
      <c r="D178" s="11"/>
      <c r="E178" s="11"/>
      <c r="F178" s="11"/>
      <c r="G178" s="11"/>
      <c r="H178" s="11"/>
      <c r="I178" s="11"/>
      <c r="J178" s="11"/>
      <c r="K178" s="11"/>
      <c r="L178" s="15"/>
      <c r="M178" s="15"/>
      <c r="N178" s="15"/>
      <c r="O178" s="15"/>
      <c r="P178" s="15"/>
      <c r="Q178" s="11"/>
      <c r="R178" s="11"/>
      <c r="S178" s="11"/>
      <c r="T178" s="11"/>
      <c r="U178" s="15"/>
      <c r="V178" s="11"/>
      <c r="W178" s="11"/>
      <c r="X178" s="11"/>
      <c r="Y178" s="11"/>
      <c r="Z178" s="11"/>
    </row>
    <row r="179">
      <c r="A179" s="18"/>
      <c r="B179" s="11"/>
      <c r="C179" s="11"/>
      <c r="D179" s="11"/>
      <c r="E179" s="11"/>
      <c r="F179" s="11"/>
      <c r="G179" s="11"/>
      <c r="H179" s="11"/>
      <c r="I179" s="11"/>
      <c r="J179" s="11"/>
      <c r="K179" s="11"/>
      <c r="L179" s="15"/>
      <c r="M179" s="15"/>
      <c r="N179" s="15"/>
      <c r="O179" s="15"/>
      <c r="P179" s="15"/>
      <c r="Q179" s="11"/>
      <c r="R179" s="11"/>
      <c r="S179" s="11"/>
      <c r="T179" s="11"/>
      <c r="U179" s="15"/>
      <c r="V179" s="11"/>
      <c r="W179" s="11"/>
      <c r="X179" s="11"/>
      <c r="Y179" s="11"/>
      <c r="Z179" s="11"/>
    </row>
    <row r="180">
      <c r="A180" s="18"/>
      <c r="B180" s="11"/>
      <c r="C180" s="11"/>
      <c r="D180" s="11"/>
      <c r="E180" s="11"/>
      <c r="F180" s="11"/>
      <c r="G180" s="11"/>
      <c r="H180" s="11"/>
      <c r="I180" s="11"/>
      <c r="J180" s="11"/>
      <c r="K180" s="11"/>
      <c r="L180" s="15"/>
      <c r="M180" s="15"/>
      <c r="N180" s="15"/>
      <c r="O180" s="15"/>
      <c r="P180" s="15"/>
      <c r="Q180" s="11"/>
      <c r="R180" s="11"/>
      <c r="S180" s="11"/>
      <c r="T180" s="11"/>
      <c r="U180" s="15"/>
      <c r="V180" s="11"/>
      <c r="W180" s="11"/>
      <c r="X180" s="11"/>
      <c r="Y180" s="11"/>
      <c r="Z180" s="11"/>
    </row>
    <row r="181">
      <c r="A181" s="18"/>
      <c r="B181" s="11"/>
      <c r="C181" s="11"/>
      <c r="D181" s="11"/>
      <c r="E181" s="11"/>
      <c r="F181" s="11"/>
      <c r="G181" s="11"/>
      <c r="H181" s="11"/>
      <c r="I181" s="11"/>
      <c r="J181" s="11"/>
      <c r="K181" s="11"/>
      <c r="L181" s="15"/>
      <c r="M181" s="15"/>
      <c r="N181" s="15"/>
      <c r="O181" s="15"/>
      <c r="P181" s="15"/>
      <c r="Q181" s="11"/>
      <c r="R181" s="11"/>
      <c r="S181" s="11"/>
      <c r="T181" s="11"/>
      <c r="U181" s="15"/>
      <c r="V181" s="11"/>
      <c r="W181" s="11"/>
      <c r="X181" s="11"/>
      <c r="Y181" s="11"/>
      <c r="Z181" s="11"/>
    </row>
    <row r="182">
      <c r="A182" s="18"/>
      <c r="B182" s="11"/>
      <c r="C182" s="11"/>
      <c r="D182" s="11"/>
      <c r="E182" s="11"/>
      <c r="F182" s="11"/>
      <c r="G182" s="11"/>
      <c r="H182" s="11"/>
      <c r="I182" s="11"/>
      <c r="J182" s="11"/>
      <c r="K182" s="11"/>
      <c r="L182" s="15"/>
      <c r="M182" s="15"/>
      <c r="N182" s="15"/>
      <c r="O182" s="15"/>
      <c r="P182" s="15"/>
      <c r="Q182" s="11"/>
      <c r="R182" s="11"/>
      <c r="S182" s="11"/>
      <c r="T182" s="11"/>
      <c r="U182" s="15"/>
      <c r="V182" s="11"/>
      <c r="W182" s="11"/>
      <c r="X182" s="11"/>
      <c r="Y182" s="11"/>
      <c r="Z182" s="11"/>
    </row>
    <row r="183">
      <c r="A183" s="18"/>
      <c r="B183" s="11"/>
      <c r="C183" s="11"/>
      <c r="D183" s="11"/>
      <c r="E183" s="11"/>
      <c r="F183" s="11"/>
      <c r="G183" s="11"/>
      <c r="H183" s="11"/>
      <c r="I183" s="11"/>
      <c r="J183" s="11"/>
      <c r="K183" s="11"/>
      <c r="L183" s="15"/>
      <c r="M183" s="15"/>
      <c r="N183" s="15"/>
      <c r="O183" s="15"/>
      <c r="P183" s="15"/>
      <c r="Q183" s="11"/>
      <c r="R183" s="11"/>
      <c r="S183" s="11"/>
      <c r="T183" s="11"/>
      <c r="U183" s="15"/>
      <c r="V183" s="11"/>
      <c r="W183" s="11"/>
      <c r="X183" s="11"/>
      <c r="Y183" s="11"/>
      <c r="Z183" s="11"/>
    </row>
    <row r="184">
      <c r="A184" s="18"/>
      <c r="B184" s="11"/>
      <c r="C184" s="11"/>
      <c r="D184" s="11"/>
      <c r="E184" s="11"/>
      <c r="F184" s="11"/>
      <c r="G184" s="11"/>
      <c r="H184" s="11"/>
      <c r="I184" s="11"/>
      <c r="J184" s="11"/>
      <c r="K184" s="11"/>
      <c r="L184" s="15"/>
      <c r="M184" s="15"/>
      <c r="N184" s="15"/>
      <c r="O184" s="15"/>
      <c r="P184" s="15"/>
      <c r="Q184" s="11"/>
      <c r="R184" s="11"/>
      <c r="S184" s="11"/>
      <c r="T184" s="11"/>
      <c r="U184" s="15"/>
      <c r="V184" s="11"/>
      <c r="W184" s="11"/>
      <c r="X184" s="11"/>
      <c r="Y184" s="11"/>
      <c r="Z184" s="11"/>
    </row>
    <row r="185">
      <c r="A185" s="18"/>
      <c r="B185" s="11"/>
      <c r="C185" s="11"/>
      <c r="D185" s="11"/>
      <c r="E185" s="11"/>
      <c r="F185" s="11"/>
      <c r="G185" s="11"/>
      <c r="H185" s="11"/>
      <c r="I185" s="11"/>
      <c r="J185" s="11"/>
      <c r="K185" s="11"/>
      <c r="L185" s="15"/>
      <c r="M185" s="15"/>
      <c r="N185" s="15"/>
      <c r="O185" s="15"/>
      <c r="P185" s="15"/>
      <c r="Q185" s="11"/>
      <c r="R185" s="11"/>
      <c r="S185" s="11"/>
      <c r="T185" s="11"/>
      <c r="U185" s="15"/>
      <c r="V185" s="11"/>
      <c r="W185" s="11"/>
      <c r="X185" s="11"/>
      <c r="Y185" s="11"/>
      <c r="Z185" s="11"/>
    </row>
    <row r="186">
      <c r="A186" s="18"/>
      <c r="B186" s="11"/>
      <c r="C186" s="11"/>
      <c r="D186" s="11"/>
      <c r="E186" s="11"/>
      <c r="F186" s="11"/>
      <c r="G186" s="11"/>
      <c r="H186" s="11"/>
      <c r="I186" s="11"/>
      <c r="J186" s="11"/>
      <c r="K186" s="11"/>
      <c r="L186" s="15"/>
      <c r="M186" s="15"/>
      <c r="N186" s="15"/>
      <c r="O186" s="15"/>
      <c r="P186" s="15"/>
      <c r="Q186" s="11"/>
      <c r="R186" s="11"/>
      <c r="S186" s="11"/>
      <c r="T186" s="11"/>
      <c r="U186" s="15"/>
      <c r="V186" s="11"/>
      <c r="W186" s="11"/>
      <c r="X186" s="11"/>
      <c r="Y186" s="11"/>
      <c r="Z186" s="11"/>
    </row>
    <row r="187">
      <c r="A187" s="18"/>
      <c r="B187" s="11"/>
      <c r="C187" s="11"/>
      <c r="D187" s="11"/>
      <c r="E187" s="11"/>
      <c r="F187" s="11"/>
      <c r="G187" s="11"/>
      <c r="H187" s="11"/>
      <c r="I187" s="11"/>
      <c r="J187" s="11"/>
      <c r="K187" s="11"/>
      <c r="L187" s="15"/>
      <c r="M187" s="15"/>
      <c r="N187" s="15"/>
      <c r="O187" s="15"/>
      <c r="P187" s="15"/>
      <c r="Q187" s="11"/>
      <c r="R187" s="11"/>
      <c r="S187" s="11"/>
      <c r="T187" s="11"/>
      <c r="U187" s="15"/>
      <c r="V187" s="11"/>
      <c r="W187" s="11"/>
      <c r="X187" s="11"/>
      <c r="Y187" s="11"/>
      <c r="Z187" s="11"/>
    </row>
    <row r="188">
      <c r="A188" s="18"/>
      <c r="B188" s="11"/>
      <c r="C188" s="11"/>
      <c r="D188" s="11"/>
      <c r="E188" s="11"/>
      <c r="F188" s="11"/>
      <c r="G188" s="11"/>
      <c r="H188" s="11"/>
      <c r="I188" s="11"/>
      <c r="J188" s="11"/>
      <c r="K188" s="11"/>
      <c r="L188" s="15"/>
      <c r="M188" s="15"/>
      <c r="N188" s="15"/>
      <c r="O188" s="15"/>
      <c r="P188" s="15"/>
      <c r="Q188" s="11"/>
      <c r="R188" s="11"/>
      <c r="S188" s="11"/>
      <c r="T188" s="11"/>
      <c r="U188" s="15"/>
      <c r="V188" s="11"/>
      <c r="W188" s="11"/>
      <c r="X188" s="11"/>
      <c r="Y188" s="11"/>
      <c r="Z188" s="11"/>
    </row>
    <row r="189">
      <c r="A189" s="18"/>
      <c r="B189" s="11"/>
      <c r="C189" s="11"/>
      <c r="D189" s="11"/>
      <c r="E189" s="11"/>
      <c r="F189" s="11"/>
      <c r="G189" s="11"/>
      <c r="H189" s="11"/>
      <c r="I189" s="11"/>
      <c r="J189" s="11"/>
      <c r="K189" s="11"/>
      <c r="L189" s="15"/>
      <c r="M189" s="15"/>
      <c r="N189" s="15"/>
      <c r="O189" s="15"/>
      <c r="P189" s="15"/>
      <c r="Q189" s="11"/>
      <c r="R189" s="11"/>
      <c r="S189" s="11"/>
      <c r="T189" s="11"/>
      <c r="U189" s="15"/>
      <c r="V189" s="11"/>
      <c r="W189" s="11"/>
      <c r="X189" s="11"/>
      <c r="Y189" s="11"/>
      <c r="Z189" s="11"/>
    </row>
    <row r="190">
      <c r="A190" s="18"/>
      <c r="B190" s="11"/>
      <c r="C190" s="11"/>
      <c r="D190" s="11"/>
      <c r="E190" s="11"/>
      <c r="F190" s="11"/>
      <c r="G190" s="11"/>
      <c r="H190" s="11"/>
      <c r="I190" s="11"/>
      <c r="J190" s="11"/>
      <c r="K190" s="11"/>
      <c r="L190" s="15"/>
      <c r="M190" s="15"/>
      <c r="N190" s="15"/>
      <c r="O190" s="15"/>
      <c r="P190" s="15"/>
      <c r="Q190" s="11"/>
      <c r="R190" s="11"/>
      <c r="S190" s="11"/>
      <c r="T190" s="11"/>
      <c r="U190" s="15"/>
      <c r="V190" s="11"/>
      <c r="W190" s="11"/>
      <c r="X190" s="11"/>
      <c r="Y190" s="11"/>
      <c r="Z190" s="11"/>
    </row>
    <row r="191">
      <c r="A191" s="18"/>
      <c r="B191" s="11"/>
      <c r="C191" s="11"/>
      <c r="D191" s="11"/>
      <c r="E191" s="11"/>
      <c r="F191" s="11"/>
      <c r="G191" s="11"/>
      <c r="H191" s="11"/>
      <c r="I191" s="11"/>
      <c r="J191" s="11"/>
      <c r="K191" s="11"/>
      <c r="L191" s="15"/>
      <c r="M191" s="15"/>
      <c r="N191" s="15"/>
      <c r="O191" s="15"/>
      <c r="P191" s="15"/>
      <c r="Q191" s="11"/>
      <c r="R191" s="11"/>
      <c r="S191" s="11"/>
      <c r="T191" s="11"/>
      <c r="U191" s="15"/>
      <c r="V191" s="11"/>
      <c r="W191" s="11"/>
      <c r="X191" s="11"/>
      <c r="Y191" s="11"/>
      <c r="Z191" s="11"/>
    </row>
    <row r="192">
      <c r="A192" s="18"/>
      <c r="B192" s="11"/>
      <c r="C192" s="11"/>
      <c r="D192" s="11"/>
      <c r="E192" s="11"/>
      <c r="F192" s="11"/>
      <c r="G192" s="11"/>
      <c r="H192" s="11"/>
      <c r="I192" s="11"/>
      <c r="J192" s="11"/>
      <c r="K192" s="11"/>
      <c r="L192" s="15"/>
      <c r="M192" s="15"/>
      <c r="N192" s="15"/>
      <c r="O192" s="15"/>
      <c r="P192" s="15"/>
      <c r="Q192" s="11"/>
      <c r="R192" s="11"/>
      <c r="S192" s="11"/>
      <c r="T192" s="11"/>
      <c r="U192" s="15"/>
      <c r="V192" s="11"/>
      <c r="W192" s="11"/>
      <c r="X192" s="11"/>
      <c r="Y192" s="11"/>
      <c r="Z192" s="11"/>
    </row>
    <row r="193">
      <c r="A193" s="18"/>
      <c r="B193" s="11"/>
      <c r="C193" s="11"/>
      <c r="D193" s="11"/>
      <c r="E193" s="11"/>
      <c r="F193" s="11"/>
      <c r="G193" s="11"/>
      <c r="H193" s="11"/>
      <c r="I193" s="11"/>
      <c r="J193" s="11"/>
      <c r="K193" s="11"/>
      <c r="L193" s="15"/>
      <c r="M193" s="15"/>
      <c r="N193" s="15"/>
      <c r="O193" s="15"/>
      <c r="P193" s="15"/>
      <c r="Q193" s="11"/>
      <c r="R193" s="11"/>
      <c r="S193" s="11"/>
      <c r="T193" s="11"/>
      <c r="U193" s="15"/>
      <c r="V193" s="11"/>
      <c r="W193" s="11"/>
      <c r="X193" s="11"/>
      <c r="Y193" s="11"/>
      <c r="Z193" s="11"/>
    </row>
    <row r="194">
      <c r="A194" s="18"/>
      <c r="B194" s="11"/>
      <c r="C194" s="11"/>
      <c r="D194" s="11"/>
      <c r="E194" s="11"/>
      <c r="F194" s="11"/>
      <c r="G194" s="11"/>
      <c r="H194" s="11"/>
      <c r="I194" s="11"/>
      <c r="J194" s="11"/>
      <c r="K194" s="11"/>
      <c r="L194" s="15"/>
      <c r="M194" s="15"/>
      <c r="N194" s="15"/>
      <c r="O194" s="15"/>
      <c r="P194" s="15"/>
      <c r="Q194" s="11"/>
      <c r="R194" s="11"/>
      <c r="S194" s="11"/>
      <c r="T194" s="11"/>
      <c r="U194" s="15"/>
      <c r="V194" s="11"/>
      <c r="W194" s="11"/>
      <c r="X194" s="11"/>
      <c r="Y194" s="11"/>
      <c r="Z194" s="11"/>
    </row>
    <row r="195">
      <c r="A195" s="18"/>
      <c r="B195" s="11"/>
      <c r="C195" s="11"/>
      <c r="D195" s="11"/>
      <c r="E195" s="11"/>
      <c r="F195" s="11"/>
      <c r="G195" s="11"/>
      <c r="H195" s="11"/>
      <c r="I195" s="11"/>
      <c r="J195" s="11"/>
      <c r="K195" s="11"/>
      <c r="L195" s="15"/>
      <c r="M195" s="15"/>
      <c r="N195" s="15"/>
      <c r="O195" s="15"/>
      <c r="P195" s="15"/>
      <c r="Q195" s="11"/>
      <c r="R195" s="11"/>
      <c r="S195" s="11"/>
      <c r="T195" s="11"/>
      <c r="U195" s="15"/>
      <c r="V195" s="11"/>
      <c r="W195" s="11"/>
      <c r="X195" s="11"/>
      <c r="Y195" s="11"/>
      <c r="Z195" s="11"/>
    </row>
    <row r="196">
      <c r="A196" s="18"/>
      <c r="B196" s="11"/>
      <c r="C196" s="11"/>
      <c r="D196" s="11"/>
      <c r="E196" s="11"/>
      <c r="F196" s="11"/>
      <c r="G196" s="11"/>
      <c r="H196" s="11"/>
      <c r="I196" s="11"/>
      <c r="J196" s="11"/>
      <c r="K196" s="11"/>
      <c r="L196" s="15"/>
      <c r="M196" s="15"/>
      <c r="N196" s="15"/>
      <c r="O196" s="15"/>
      <c r="P196" s="15"/>
      <c r="Q196" s="11"/>
      <c r="R196" s="11"/>
      <c r="S196" s="11"/>
      <c r="T196" s="11"/>
      <c r="U196" s="15"/>
      <c r="V196" s="11"/>
      <c r="W196" s="11"/>
      <c r="X196" s="11"/>
      <c r="Y196" s="11"/>
      <c r="Z196" s="11"/>
    </row>
    <row r="197">
      <c r="A197" s="18"/>
      <c r="B197" s="11"/>
      <c r="C197" s="11"/>
      <c r="D197" s="11"/>
      <c r="E197" s="11"/>
      <c r="F197" s="11"/>
      <c r="G197" s="11"/>
      <c r="H197" s="11"/>
      <c r="I197" s="11"/>
      <c r="J197" s="11"/>
      <c r="K197" s="11"/>
      <c r="L197" s="15"/>
      <c r="M197" s="15"/>
      <c r="N197" s="15"/>
      <c r="O197" s="15"/>
      <c r="P197" s="15"/>
      <c r="Q197" s="11"/>
      <c r="R197" s="11"/>
      <c r="S197" s="11"/>
      <c r="T197" s="11"/>
      <c r="U197" s="15"/>
      <c r="V197" s="11"/>
      <c r="W197" s="11"/>
      <c r="X197" s="11"/>
      <c r="Y197" s="11"/>
      <c r="Z197" s="11"/>
    </row>
    <row r="198">
      <c r="A198" s="18"/>
      <c r="B198" s="11"/>
      <c r="C198" s="11"/>
      <c r="D198" s="11"/>
      <c r="E198" s="11"/>
      <c r="F198" s="11"/>
      <c r="G198" s="11"/>
      <c r="H198" s="11"/>
      <c r="I198" s="11"/>
      <c r="J198" s="11"/>
      <c r="K198" s="11"/>
      <c r="L198" s="15"/>
      <c r="M198" s="15"/>
      <c r="N198" s="15"/>
      <c r="O198" s="15"/>
      <c r="P198" s="15"/>
      <c r="Q198" s="11"/>
      <c r="R198" s="11"/>
      <c r="S198" s="11"/>
      <c r="T198" s="11"/>
      <c r="U198" s="15"/>
      <c r="V198" s="11"/>
      <c r="W198" s="11"/>
      <c r="X198" s="11"/>
      <c r="Y198" s="11"/>
      <c r="Z198" s="11"/>
    </row>
    <row r="199">
      <c r="A199" s="18"/>
      <c r="B199" s="11"/>
      <c r="C199" s="11"/>
      <c r="D199" s="11"/>
      <c r="E199" s="11"/>
      <c r="F199" s="11"/>
      <c r="G199" s="11"/>
      <c r="H199" s="11"/>
      <c r="I199" s="11"/>
      <c r="J199" s="11"/>
      <c r="K199" s="11"/>
      <c r="L199" s="15"/>
      <c r="M199" s="15"/>
      <c r="N199" s="15"/>
      <c r="O199" s="15"/>
      <c r="P199" s="15"/>
      <c r="Q199" s="11"/>
      <c r="R199" s="11"/>
      <c r="S199" s="11"/>
      <c r="T199" s="11"/>
      <c r="U199" s="15"/>
      <c r="V199" s="11"/>
      <c r="W199" s="11"/>
      <c r="X199" s="11"/>
      <c r="Y199" s="11"/>
      <c r="Z199" s="11"/>
    </row>
    <row r="200">
      <c r="A200" s="18"/>
      <c r="B200" s="11"/>
      <c r="C200" s="11"/>
      <c r="D200" s="11"/>
      <c r="E200" s="11"/>
      <c r="F200" s="11"/>
      <c r="G200" s="11"/>
      <c r="H200" s="11"/>
      <c r="I200" s="11"/>
      <c r="J200" s="11"/>
      <c r="K200" s="11"/>
      <c r="L200" s="15"/>
      <c r="M200" s="15"/>
      <c r="N200" s="15"/>
      <c r="O200" s="15"/>
      <c r="P200" s="15"/>
      <c r="Q200" s="11"/>
      <c r="R200" s="11"/>
      <c r="S200" s="11"/>
      <c r="T200" s="11"/>
      <c r="U200" s="15"/>
      <c r="V200" s="11"/>
      <c r="W200" s="11"/>
      <c r="X200" s="11"/>
      <c r="Y200" s="11"/>
      <c r="Z200" s="11"/>
    </row>
    <row r="201">
      <c r="A201" s="18"/>
      <c r="B201" s="11"/>
      <c r="C201" s="11"/>
      <c r="D201" s="11"/>
      <c r="E201" s="11"/>
      <c r="F201" s="11"/>
      <c r="G201" s="11"/>
      <c r="H201" s="11"/>
      <c r="I201" s="11"/>
      <c r="J201" s="11"/>
      <c r="K201" s="11"/>
      <c r="L201" s="15"/>
      <c r="M201" s="15"/>
      <c r="N201" s="15"/>
      <c r="O201" s="15"/>
      <c r="P201" s="15"/>
      <c r="Q201" s="11"/>
      <c r="R201" s="11"/>
      <c r="S201" s="11"/>
      <c r="T201" s="11"/>
      <c r="U201" s="15"/>
      <c r="V201" s="11"/>
      <c r="W201" s="11"/>
      <c r="X201" s="11"/>
      <c r="Y201" s="11"/>
      <c r="Z201" s="11"/>
    </row>
    <row r="202">
      <c r="A202" s="18"/>
      <c r="B202" s="11"/>
      <c r="C202" s="11"/>
      <c r="D202" s="11"/>
      <c r="E202" s="11"/>
      <c r="F202" s="11"/>
      <c r="G202" s="11"/>
      <c r="H202" s="11"/>
      <c r="I202" s="11"/>
      <c r="J202" s="11"/>
      <c r="K202" s="11"/>
      <c r="L202" s="15"/>
      <c r="M202" s="15"/>
      <c r="N202" s="15"/>
      <c r="O202" s="15"/>
      <c r="P202" s="15"/>
      <c r="Q202" s="11"/>
      <c r="R202" s="11"/>
      <c r="S202" s="11"/>
      <c r="T202" s="11"/>
      <c r="U202" s="15"/>
      <c r="V202" s="11"/>
      <c r="W202" s="11"/>
      <c r="X202" s="11"/>
      <c r="Y202" s="11"/>
      <c r="Z202" s="11"/>
    </row>
    <row r="203">
      <c r="A203" s="18"/>
      <c r="B203" s="11"/>
      <c r="C203" s="11"/>
      <c r="D203" s="11"/>
      <c r="E203" s="11"/>
      <c r="F203" s="11"/>
      <c r="G203" s="11"/>
      <c r="H203" s="11"/>
      <c r="I203" s="11"/>
      <c r="J203" s="11"/>
      <c r="K203" s="11"/>
      <c r="L203" s="15"/>
      <c r="M203" s="15"/>
      <c r="N203" s="15"/>
      <c r="O203" s="15"/>
      <c r="P203" s="15"/>
      <c r="Q203" s="11"/>
      <c r="R203" s="11"/>
      <c r="S203" s="11"/>
      <c r="T203" s="11"/>
      <c r="U203" s="15"/>
      <c r="V203" s="11"/>
      <c r="W203" s="11"/>
      <c r="X203" s="11"/>
      <c r="Y203" s="11"/>
      <c r="Z203" s="11"/>
    </row>
    <row r="204">
      <c r="A204" s="18"/>
      <c r="B204" s="11"/>
      <c r="C204" s="11"/>
      <c r="D204" s="11"/>
      <c r="E204" s="11"/>
      <c r="F204" s="11"/>
      <c r="G204" s="11"/>
      <c r="H204" s="11"/>
      <c r="I204" s="11"/>
      <c r="J204" s="11"/>
      <c r="K204" s="11"/>
      <c r="L204" s="15"/>
      <c r="M204" s="15"/>
      <c r="N204" s="15"/>
      <c r="O204" s="15"/>
      <c r="P204" s="15"/>
      <c r="Q204" s="11"/>
      <c r="R204" s="11"/>
      <c r="S204" s="11"/>
      <c r="T204" s="11"/>
      <c r="U204" s="15"/>
      <c r="V204" s="11"/>
      <c r="W204" s="11"/>
      <c r="X204" s="11"/>
      <c r="Y204" s="11"/>
      <c r="Z204" s="11"/>
    </row>
    <row r="205">
      <c r="A205" s="18"/>
      <c r="B205" s="11"/>
      <c r="C205" s="11"/>
      <c r="D205" s="11"/>
      <c r="E205" s="11"/>
      <c r="F205" s="11"/>
      <c r="G205" s="11"/>
      <c r="H205" s="11"/>
      <c r="I205" s="11"/>
      <c r="J205" s="11"/>
      <c r="K205" s="11"/>
      <c r="L205" s="15"/>
      <c r="M205" s="15"/>
      <c r="N205" s="15"/>
      <c r="O205" s="15"/>
      <c r="P205" s="15"/>
      <c r="Q205" s="11"/>
      <c r="R205" s="11"/>
      <c r="S205" s="11"/>
      <c r="T205" s="11"/>
      <c r="U205" s="15"/>
      <c r="V205" s="11"/>
      <c r="W205" s="11"/>
      <c r="X205" s="11"/>
      <c r="Y205" s="11"/>
      <c r="Z205" s="11"/>
    </row>
    <row r="206">
      <c r="A206" s="18"/>
      <c r="B206" s="11"/>
      <c r="C206" s="11"/>
      <c r="D206" s="11"/>
      <c r="E206" s="11"/>
      <c r="F206" s="11"/>
      <c r="G206" s="11"/>
      <c r="H206" s="11"/>
      <c r="I206" s="11"/>
      <c r="J206" s="11"/>
      <c r="K206" s="11"/>
      <c r="L206" s="15"/>
      <c r="M206" s="15"/>
      <c r="N206" s="15"/>
      <c r="O206" s="15"/>
      <c r="P206" s="15"/>
      <c r="Q206" s="11"/>
      <c r="R206" s="11"/>
      <c r="S206" s="11"/>
      <c r="T206" s="11"/>
      <c r="U206" s="15"/>
      <c r="V206" s="11"/>
      <c r="W206" s="11"/>
      <c r="X206" s="11"/>
      <c r="Y206" s="11"/>
      <c r="Z206" s="11"/>
    </row>
    <row r="207">
      <c r="A207" s="18"/>
      <c r="B207" s="11"/>
      <c r="C207" s="11"/>
      <c r="D207" s="11"/>
      <c r="E207" s="11"/>
      <c r="F207" s="11"/>
      <c r="G207" s="11"/>
      <c r="H207" s="11"/>
      <c r="I207" s="11"/>
      <c r="J207" s="11"/>
      <c r="K207" s="11"/>
      <c r="L207" s="15"/>
      <c r="M207" s="15"/>
      <c r="N207" s="15"/>
      <c r="O207" s="15"/>
      <c r="P207" s="15"/>
      <c r="Q207" s="11"/>
      <c r="R207" s="11"/>
      <c r="S207" s="11"/>
      <c r="T207" s="11"/>
      <c r="U207" s="15"/>
      <c r="V207" s="11"/>
      <c r="W207" s="11"/>
      <c r="X207" s="11"/>
      <c r="Y207" s="11"/>
      <c r="Z207" s="11"/>
    </row>
    <row r="208">
      <c r="A208" s="18"/>
      <c r="B208" s="11"/>
      <c r="C208" s="11"/>
      <c r="D208" s="11"/>
      <c r="E208" s="11"/>
      <c r="F208" s="11"/>
      <c r="G208" s="11"/>
      <c r="H208" s="11"/>
      <c r="I208" s="11"/>
      <c r="J208" s="11"/>
      <c r="K208" s="11"/>
      <c r="L208" s="15"/>
      <c r="M208" s="15"/>
      <c r="N208" s="15"/>
      <c r="O208" s="15"/>
      <c r="P208" s="15"/>
      <c r="Q208" s="11"/>
      <c r="R208" s="11"/>
      <c r="S208" s="11"/>
      <c r="T208" s="11"/>
      <c r="U208" s="15"/>
      <c r="V208" s="11"/>
      <c r="W208" s="11"/>
      <c r="X208" s="11"/>
      <c r="Y208" s="11"/>
      <c r="Z208" s="11"/>
    </row>
    <row r="209">
      <c r="A209" s="18"/>
      <c r="B209" s="11"/>
      <c r="C209" s="11"/>
      <c r="D209" s="11"/>
      <c r="E209" s="11"/>
      <c r="F209" s="11"/>
      <c r="G209" s="11"/>
      <c r="H209" s="11"/>
      <c r="I209" s="11"/>
      <c r="J209" s="11"/>
      <c r="K209" s="11"/>
      <c r="L209" s="15"/>
      <c r="M209" s="15"/>
      <c r="N209" s="15"/>
      <c r="O209" s="15"/>
      <c r="P209" s="15"/>
      <c r="Q209" s="11"/>
      <c r="R209" s="11"/>
      <c r="S209" s="11"/>
      <c r="T209" s="11"/>
      <c r="U209" s="15"/>
      <c r="V209" s="11"/>
      <c r="W209" s="11"/>
      <c r="X209" s="11"/>
      <c r="Y209" s="11"/>
      <c r="Z209" s="11"/>
    </row>
    <row r="210">
      <c r="A210" s="18"/>
      <c r="B210" s="11"/>
      <c r="C210" s="11"/>
      <c r="D210" s="11"/>
      <c r="E210" s="11"/>
      <c r="F210" s="11"/>
      <c r="G210" s="11"/>
      <c r="H210" s="11"/>
      <c r="I210" s="11"/>
      <c r="J210" s="11"/>
      <c r="K210" s="11"/>
      <c r="L210" s="15"/>
      <c r="M210" s="15"/>
      <c r="N210" s="15"/>
      <c r="O210" s="15"/>
      <c r="P210" s="15"/>
      <c r="Q210" s="11"/>
      <c r="R210" s="11"/>
      <c r="S210" s="11"/>
      <c r="T210" s="11"/>
      <c r="U210" s="15"/>
      <c r="V210" s="11"/>
      <c r="W210" s="11"/>
      <c r="X210" s="11"/>
      <c r="Y210" s="11"/>
      <c r="Z210" s="11"/>
    </row>
    <row r="211">
      <c r="A211" s="18"/>
      <c r="B211" s="11"/>
      <c r="C211" s="11"/>
      <c r="D211" s="11"/>
      <c r="E211" s="11"/>
      <c r="F211" s="11"/>
      <c r="G211" s="11"/>
      <c r="H211" s="11"/>
      <c r="I211" s="11"/>
      <c r="J211" s="11"/>
      <c r="K211" s="11"/>
      <c r="L211" s="15"/>
      <c r="M211" s="15"/>
      <c r="N211" s="15"/>
      <c r="O211" s="15"/>
      <c r="P211" s="15"/>
      <c r="Q211" s="11"/>
      <c r="R211" s="11"/>
      <c r="S211" s="11"/>
      <c r="T211" s="11"/>
      <c r="U211" s="15"/>
      <c r="V211" s="11"/>
      <c r="W211" s="11"/>
      <c r="X211" s="11"/>
      <c r="Y211" s="11"/>
      <c r="Z211" s="11"/>
    </row>
    <row r="212">
      <c r="A212" s="18"/>
      <c r="B212" s="11"/>
      <c r="C212" s="11"/>
      <c r="D212" s="11"/>
      <c r="E212" s="11"/>
      <c r="F212" s="11"/>
      <c r="G212" s="11"/>
      <c r="H212" s="11"/>
      <c r="I212" s="11"/>
      <c r="J212" s="11"/>
      <c r="K212" s="11"/>
      <c r="L212" s="15"/>
      <c r="M212" s="15"/>
      <c r="N212" s="15"/>
      <c r="O212" s="15"/>
      <c r="P212" s="15"/>
      <c r="Q212" s="11"/>
      <c r="R212" s="11"/>
      <c r="S212" s="11"/>
      <c r="T212" s="11"/>
      <c r="U212" s="15"/>
      <c r="V212" s="11"/>
      <c r="W212" s="11"/>
      <c r="X212" s="11"/>
      <c r="Y212" s="11"/>
      <c r="Z212" s="11"/>
    </row>
    <row r="213">
      <c r="A213" s="18"/>
      <c r="B213" s="11"/>
      <c r="C213" s="11"/>
      <c r="D213" s="11"/>
      <c r="E213" s="11"/>
      <c r="F213" s="11"/>
      <c r="G213" s="11"/>
      <c r="H213" s="11"/>
      <c r="I213" s="11"/>
      <c r="J213" s="11"/>
      <c r="K213" s="11"/>
      <c r="L213" s="15"/>
      <c r="M213" s="15"/>
      <c r="N213" s="15"/>
      <c r="O213" s="15"/>
      <c r="P213" s="15"/>
      <c r="Q213" s="11"/>
      <c r="R213" s="11"/>
      <c r="S213" s="11"/>
      <c r="T213" s="11"/>
      <c r="U213" s="15"/>
      <c r="V213" s="11"/>
      <c r="W213" s="11"/>
      <c r="X213" s="11"/>
      <c r="Y213" s="11"/>
      <c r="Z213" s="11"/>
    </row>
    <row r="214">
      <c r="A214" s="18"/>
      <c r="B214" s="11"/>
      <c r="C214" s="11"/>
      <c r="D214" s="11"/>
      <c r="E214" s="11"/>
      <c r="F214" s="11"/>
      <c r="G214" s="11"/>
      <c r="H214" s="11"/>
      <c r="I214" s="11"/>
      <c r="J214" s="11"/>
      <c r="K214" s="11"/>
      <c r="L214" s="15"/>
      <c r="M214" s="15"/>
      <c r="N214" s="15"/>
      <c r="O214" s="15"/>
      <c r="P214" s="15"/>
      <c r="Q214" s="11"/>
      <c r="R214" s="11"/>
      <c r="S214" s="11"/>
      <c r="T214" s="11"/>
      <c r="U214" s="15"/>
      <c r="V214" s="11"/>
      <c r="W214" s="11"/>
      <c r="X214" s="11"/>
      <c r="Y214" s="11"/>
      <c r="Z214" s="11"/>
    </row>
    <row r="215">
      <c r="A215" s="18"/>
      <c r="B215" s="11"/>
      <c r="C215" s="11"/>
      <c r="D215" s="11"/>
      <c r="E215" s="11"/>
      <c r="F215" s="11"/>
      <c r="G215" s="11"/>
      <c r="H215" s="11"/>
      <c r="I215" s="11"/>
      <c r="J215" s="11"/>
      <c r="K215" s="11"/>
      <c r="L215" s="15"/>
      <c r="M215" s="15"/>
      <c r="N215" s="15"/>
      <c r="O215" s="15"/>
      <c r="P215" s="15"/>
      <c r="Q215" s="11"/>
      <c r="R215" s="11"/>
      <c r="S215" s="11"/>
      <c r="T215" s="11"/>
      <c r="U215" s="15"/>
      <c r="V215" s="11"/>
      <c r="W215" s="11"/>
      <c r="X215" s="11"/>
      <c r="Y215" s="11"/>
      <c r="Z215" s="11"/>
    </row>
    <row r="216">
      <c r="A216" s="18"/>
      <c r="B216" s="11"/>
      <c r="C216" s="11"/>
      <c r="D216" s="11"/>
      <c r="E216" s="11"/>
      <c r="F216" s="11"/>
      <c r="G216" s="11"/>
      <c r="H216" s="11"/>
      <c r="I216" s="11"/>
      <c r="J216" s="11"/>
      <c r="K216" s="11"/>
      <c r="L216" s="15"/>
      <c r="M216" s="15"/>
      <c r="N216" s="15"/>
      <c r="O216" s="15"/>
      <c r="P216" s="15"/>
      <c r="Q216" s="11"/>
      <c r="R216" s="11"/>
      <c r="S216" s="11"/>
      <c r="T216" s="11"/>
      <c r="U216" s="15"/>
      <c r="V216" s="11"/>
      <c r="W216" s="11"/>
      <c r="X216" s="11"/>
      <c r="Y216" s="11"/>
      <c r="Z216" s="11"/>
    </row>
    <row r="217">
      <c r="A217" s="18"/>
      <c r="B217" s="11"/>
      <c r="C217" s="11"/>
      <c r="D217" s="11"/>
      <c r="E217" s="11"/>
      <c r="F217" s="11"/>
      <c r="G217" s="11"/>
      <c r="H217" s="11"/>
      <c r="I217" s="11"/>
      <c r="J217" s="11"/>
      <c r="K217" s="11"/>
      <c r="L217" s="15"/>
      <c r="M217" s="15"/>
      <c r="N217" s="15"/>
      <c r="O217" s="15"/>
      <c r="P217" s="15"/>
      <c r="Q217" s="11"/>
      <c r="R217" s="11"/>
      <c r="S217" s="11"/>
      <c r="T217" s="11"/>
      <c r="U217" s="15"/>
      <c r="V217" s="11"/>
      <c r="W217" s="11"/>
      <c r="X217" s="11"/>
      <c r="Y217" s="11"/>
      <c r="Z217" s="11"/>
    </row>
    <row r="218">
      <c r="A218" s="18"/>
      <c r="B218" s="11"/>
      <c r="C218" s="11"/>
      <c r="D218" s="11"/>
      <c r="E218" s="11"/>
      <c r="F218" s="11"/>
      <c r="G218" s="11"/>
      <c r="H218" s="11"/>
      <c r="I218" s="11"/>
      <c r="J218" s="11"/>
      <c r="K218" s="11"/>
      <c r="L218" s="15"/>
      <c r="M218" s="15"/>
      <c r="N218" s="15"/>
      <c r="O218" s="15"/>
      <c r="P218" s="15"/>
      <c r="Q218" s="11"/>
      <c r="R218" s="11"/>
      <c r="S218" s="11"/>
      <c r="T218" s="11"/>
      <c r="U218" s="15"/>
      <c r="V218" s="11"/>
      <c r="W218" s="11"/>
      <c r="X218" s="11"/>
      <c r="Y218" s="11"/>
      <c r="Z218" s="11"/>
    </row>
    <row r="219">
      <c r="A219" s="18"/>
      <c r="B219" s="11"/>
      <c r="C219" s="11"/>
      <c r="D219" s="11"/>
      <c r="E219" s="11"/>
      <c r="F219" s="11"/>
      <c r="G219" s="11"/>
      <c r="H219" s="11"/>
      <c r="I219" s="11"/>
      <c r="J219" s="11"/>
      <c r="K219" s="11"/>
      <c r="L219" s="15"/>
      <c r="M219" s="15"/>
      <c r="N219" s="15"/>
      <c r="O219" s="15"/>
      <c r="P219" s="15"/>
      <c r="Q219" s="11"/>
      <c r="R219" s="11"/>
      <c r="S219" s="11"/>
      <c r="T219" s="11"/>
      <c r="U219" s="15"/>
      <c r="V219" s="11"/>
      <c r="W219" s="11"/>
      <c r="X219" s="11"/>
      <c r="Y219" s="11"/>
      <c r="Z219" s="11"/>
    </row>
    <row r="220">
      <c r="A220" s="18"/>
      <c r="B220" s="11"/>
      <c r="C220" s="11"/>
      <c r="D220" s="11"/>
      <c r="E220" s="11"/>
      <c r="F220" s="11"/>
      <c r="G220" s="11"/>
      <c r="H220" s="11"/>
      <c r="I220" s="11"/>
      <c r="J220" s="11"/>
      <c r="K220" s="11"/>
      <c r="L220" s="15"/>
      <c r="M220" s="15"/>
      <c r="N220" s="15"/>
      <c r="O220" s="15"/>
      <c r="P220" s="15"/>
      <c r="Q220" s="11"/>
      <c r="R220" s="11"/>
      <c r="S220" s="11"/>
      <c r="T220" s="11"/>
      <c r="U220" s="15"/>
      <c r="V220" s="11"/>
      <c r="W220" s="11"/>
      <c r="X220" s="11"/>
      <c r="Y220" s="11"/>
      <c r="Z220" s="11"/>
    </row>
    <row r="221">
      <c r="A221" s="18"/>
      <c r="B221" s="11"/>
      <c r="C221" s="11"/>
      <c r="D221" s="11"/>
      <c r="E221" s="11"/>
      <c r="F221" s="11"/>
      <c r="G221" s="11"/>
      <c r="H221" s="11"/>
      <c r="I221" s="11"/>
      <c r="J221" s="11"/>
      <c r="K221" s="11"/>
      <c r="L221" s="15"/>
      <c r="M221" s="15"/>
      <c r="N221" s="15"/>
      <c r="O221" s="15"/>
      <c r="P221" s="15"/>
      <c r="Q221" s="11"/>
      <c r="R221" s="11"/>
      <c r="S221" s="11"/>
      <c r="T221" s="11"/>
      <c r="U221" s="15"/>
      <c r="V221" s="11"/>
      <c r="W221" s="11"/>
      <c r="X221" s="11"/>
      <c r="Y221" s="11"/>
      <c r="Z221" s="11"/>
    </row>
    <row r="222">
      <c r="A222" s="18"/>
      <c r="B222" s="11"/>
      <c r="C222" s="11"/>
      <c r="D222" s="11"/>
      <c r="E222" s="11"/>
      <c r="F222" s="11"/>
      <c r="G222" s="11"/>
      <c r="H222" s="11"/>
      <c r="I222" s="11"/>
      <c r="J222" s="11"/>
      <c r="K222" s="11"/>
      <c r="L222" s="15"/>
      <c r="M222" s="15"/>
      <c r="N222" s="15"/>
      <c r="O222" s="15"/>
      <c r="P222" s="15"/>
      <c r="Q222" s="11"/>
      <c r="R222" s="11"/>
      <c r="S222" s="11"/>
      <c r="T222" s="11"/>
      <c r="U222" s="15"/>
      <c r="V222" s="11"/>
      <c r="W222" s="11"/>
      <c r="X222" s="11"/>
      <c r="Y222" s="11"/>
      <c r="Z222" s="11"/>
    </row>
    <row r="223">
      <c r="A223" s="18"/>
      <c r="B223" s="11"/>
      <c r="C223" s="11"/>
      <c r="D223" s="11"/>
      <c r="E223" s="11"/>
      <c r="F223" s="11"/>
      <c r="G223" s="11"/>
      <c r="H223" s="11"/>
      <c r="I223" s="11"/>
      <c r="J223" s="11"/>
      <c r="K223" s="11"/>
      <c r="L223" s="15"/>
      <c r="M223" s="15"/>
      <c r="N223" s="15"/>
      <c r="O223" s="15"/>
      <c r="P223" s="15"/>
      <c r="Q223" s="11"/>
      <c r="R223" s="11"/>
      <c r="S223" s="11"/>
      <c r="T223" s="11"/>
      <c r="U223" s="15"/>
      <c r="V223" s="11"/>
      <c r="W223" s="11"/>
      <c r="X223" s="11"/>
      <c r="Y223" s="11"/>
      <c r="Z223" s="11"/>
    </row>
    <row r="224">
      <c r="A224" s="18"/>
      <c r="B224" s="11"/>
      <c r="C224" s="11"/>
      <c r="D224" s="11"/>
      <c r="E224" s="11"/>
      <c r="F224" s="11"/>
      <c r="G224" s="11"/>
      <c r="H224" s="11"/>
      <c r="I224" s="11"/>
      <c r="J224" s="11"/>
      <c r="K224" s="11"/>
      <c r="L224" s="15"/>
      <c r="M224" s="15"/>
      <c r="N224" s="15"/>
      <c r="O224" s="15"/>
      <c r="P224" s="15"/>
      <c r="Q224" s="11"/>
      <c r="R224" s="11"/>
      <c r="S224" s="11"/>
      <c r="T224" s="11"/>
      <c r="U224" s="15"/>
      <c r="V224" s="11"/>
      <c r="W224" s="11"/>
      <c r="X224" s="11"/>
      <c r="Y224" s="11"/>
      <c r="Z224" s="11"/>
    </row>
    <row r="225">
      <c r="A225" s="18"/>
      <c r="B225" s="11"/>
      <c r="C225" s="11"/>
      <c r="D225" s="11"/>
      <c r="E225" s="11"/>
      <c r="F225" s="11"/>
      <c r="G225" s="11"/>
      <c r="H225" s="11"/>
      <c r="I225" s="11"/>
      <c r="J225" s="11"/>
      <c r="K225" s="11"/>
      <c r="L225" s="15"/>
      <c r="M225" s="15"/>
      <c r="N225" s="15"/>
      <c r="O225" s="15"/>
      <c r="P225" s="15"/>
      <c r="Q225" s="11"/>
      <c r="R225" s="11"/>
      <c r="S225" s="11"/>
      <c r="T225" s="11"/>
      <c r="U225" s="15"/>
      <c r="V225" s="11"/>
      <c r="W225" s="11"/>
      <c r="X225" s="11"/>
      <c r="Y225" s="11"/>
      <c r="Z225" s="11"/>
    </row>
    <row r="226">
      <c r="A226" s="18"/>
      <c r="B226" s="11"/>
      <c r="C226" s="11"/>
      <c r="D226" s="11"/>
      <c r="E226" s="11"/>
      <c r="F226" s="11"/>
      <c r="G226" s="11"/>
      <c r="H226" s="11"/>
      <c r="I226" s="11"/>
      <c r="J226" s="11"/>
      <c r="K226" s="11"/>
      <c r="L226" s="15"/>
      <c r="M226" s="15"/>
      <c r="N226" s="15"/>
      <c r="O226" s="15"/>
      <c r="P226" s="15"/>
      <c r="Q226" s="11"/>
      <c r="R226" s="11"/>
      <c r="S226" s="11"/>
      <c r="T226" s="11"/>
      <c r="U226" s="15"/>
      <c r="V226" s="11"/>
      <c r="W226" s="11"/>
      <c r="X226" s="11"/>
      <c r="Y226" s="11"/>
      <c r="Z226" s="11"/>
    </row>
    <row r="227">
      <c r="A227" s="18"/>
      <c r="B227" s="11"/>
      <c r="C227" s="11"/>
      <c r="D227" s="11"/>
      <c r="E227" s="11"/>
      <c r="F227" s="11"/>
      <c r="G227" s="11"/>
      <c r="H227" s="11"/>
      <c r="I227" s="11"/>
      <c r="J227" s="11"/>
      <c r="K227" s="11"/>
      <c r="L227" s="15"/>
      <c r="M227" s="15"/>
      <c r="N227" s="15"/>
      <c r="O227" s="15"/>
      <c r="P227" s="15"/>
      <c r="Q227" s="11"/>
      <c r="R227" s="11"/>
      <c r="S227" s="11"/>
      <c r="T227" s="11"/>
      <c r="U227" s="15"/>
      <c r="V227" s="11"/>
      <c r="W227" s="11"/>
      <c r="X227" s="11"/>
      <c r="Y227" s="11"/>
      <c r="Z227" s="11"/>
    </row>
    <row r="228">
      <c r="A228" s="18"/>
      <c r="B228" s="11"/>
      <c r="C228" s="11"/>
      <c r="D228" s="11"/>
      <c r="E228" s="11"/>
      <c r="F228" s="11"/>
      <c r="G228" s="11"/>
      <c r="H228" s="11"/>
      <c r="I228" s="11"/>
      <c r="J228" s="11"/>
      <c r="K228" s="11"/>
      <c r="L228" s="15"/>
      <c r="M228" s="15"/>
      <c r="N228" s="15"/>
      <c r="O228" s="15"/>
      <c r="P228" s="15"/>
      <c r="Q228" s="11"/>
      <c r="R228" s="11"/>
      <c r="S228" s="11"/>
      <c r="T228" s="11"/>
      <c r="U228" s="15"/>
      <c r="V228" s="11"/>
      <c r="W228" s="11"/>
      <c r="X228" s="11"/>
      <c r="Y228" s="11"/>
      <c r="Z228" s="11"/>
    </row>
    <row r="229">
      <c r="A229" s="18"/>
      <c r="B229" s="11"/>
      <c r="C229" s="11"/>
      <c r="D229" s="11"/>
      <c r="E229" s="11"/>
      <c r="F229" s="11"/>
      <c r="G229" s="11"/>
      <c r="H229" s="11"/>
      <c r="I229" s="11"/>
      <c r="J229" s="11"/>
      <c r="K229" s="11"/>
      <c r="L229" s="15"/>
      <c r="M229" s="15"/>
      <c r="N229" s="15"/>
      <c r="O229" s="15"/>
      <c r="P229" s="15"/>
      <c r="Q229" s="11"/>
      <c r="R229" s="11"/>
      <c r="S229" s="11"/>
      <c r="T229" s="11"/>
      <c r="U229" s="15"/>
      <c r="V229" s="11"/>
      <c r="W229" s="11"/>
      <c r="X229" s="11"/>
      <c r="Y229" s="11"/>
      <c r="Z229" s="11"/>
    </row>
    <row r="230">
      <c r="A230" s="18"/>
      <c r="B230" s="11"/>
      <c r="C230" s="11"/>
      <c r="D230" s="11"/>
      <c r="E230" s="11"/>
      <c r="F230" s="11"/>
      <c r="G230" s="11"/>
      <c r="H230" s="11"/>
      <c r="I230" s="11"/>
      <c r="J230" s="11"/>
      <c r="K230" s="11"/>
      <c r="L230" s="15"/>
      <c r="M230" s="15"/>
      <c r="N230" s="15"/>
      <c r="O230" s="15"/>
      <c r="P230" s="15"/>
      <c r="Q230" s="11"/>
      <c r="R230" s="11"/>
      <c r="S230" s="11"/>
      <c r="T230" s="11"/>
      <c r="U230" s="15"/>
      <c r="V230" s="11"/>
      <c r="W230" s="11"/>
      <c r="X230" s="11"/>
      <c r="Y230" s="11"/>
      <c r="Z230" s="11"/>
    </row>
    <row r="231">
      <c r="A231" s="18"/>
      <c r="B231" s="11"/>
      <c r="C231" s="11"/>
      <c r="D231" s="11"/>
      <c r="E231" s="11"/>
      <c r="F231" s="11"/>
      <c r="G231" s="11"/>
      <c r="H231" s="11"/>
      <c r="I231" s="11"/>
      <c r="J231" s="11"/>
      <c r="K231" s="11"/>
      <c r="L231" s="15"/>
      <c r="M231" s="15"/>
      <c r="N231" s="15"/>
      <c r="O231" s="15"/>
      <c r="P231" s="15"/>
      <c r="Q231" s="11"/>
      <c r="R231" s="11"/>
      <c r="S231" s="11"/>
      <c r="T231" s="11"/>
      <c r="U231" s="15"/>
      <c r="V231" s="11"/>
      <c r="W231" s="11"/>
      <c r="X231" s="11"/>
      <c r="Y231" s="11"/>
      <c r="Z231" s="11"/>
    </row>
    <row r="232">
      <c r="A232" s="18"/>
      <c r="B232" s="11"/>
      <c r="C232" s="11"/>
      <c r="D232" s="11"/>
      <c r="E232" s="11"/>
      <c r="F232" s="11"/>
      <c r="G232" s="11"/>
      <c r="H232" s="11"/>
      <c r="I232" s="11"/>
      <c r="J232" s="11"/>
      <c r="K232" s="11"/>
      <c r="L232" s="15"/>
      <c r="M232" s="15"/>
      <c r="N232" s="15"/>
      <c r="O232" s="15"/>
      <c r="P232" s="15"/>
      <c r="Q232" s="11"/>
      <c r="R232" s="11"/>
      <c r="S232" s="11"/>
      <c r="T232" s="11"/>
      <c r="U232" s="15"/>
      <c r="V232" s="11"/>
      <c r="W232" s="11"/>
      <c r="X232" s="11"/>
      <c r="Y232" s="11"/>
      <c r="Z232" s="11"/>
    </row>
    <row r="233">
      <c r="A233" s="18"/>
      <c r="B233" s="11"/>
      <c r="C233" s="11"/>
      <c r="D233" s="11"/>
      <c r="E233" s="11"/>
      <c r="F233" s="11"/>
      <c r="G233" s="11"/>
      <c r="H233" s="11"/>
      <c r="I233" s="11"/>
      <c r="J233" s="11"/>
      <c r="K233" s="11"/>
      <c r="L233" s="15"/>
      <c r="M233" s="15"/>
      <c r="N233" s="15"/>
      <c r="O233" s="15"/>
      <c r="P233" s="15"/>
      <c r="Q233" s="11"/>
      <c r="R233" s="11"/>
      <c r="S233" s="11"/>
      <c r="T233" s="11"/>
      <c r="U233" s="15"/>
      <c r="V233" s="11"/>
      <c r="W233" s="11"/>
      <c r="X233" s="11"/>
      <c r="Y233" s="11"/>
      <c r="Z233" s="11"/>
    </row>
    <row r="234">
      <c r="A234" s="18"/>
      <c r="B234" s="11"/>
      <c r="C234" s="11"/>
      <c r="D234" s="11"/>
      <c r="E234" s="11"/>
      <c r="F234" s="11"/>
      <c r="G234" s="11"/>
      <c r="H234" s="11"/>
      <c r="I234" s="11"/>
      <c r="J234" s="11"/>
      <c r="K234" s="11"/>
      <c r="L234" s="15"/>
      <c r="M234" s="15"/>
      <c r="N234" s="15"/>
      <c r="O234" s="15"/>
      <c r="P234" s="15"/>
      <c r="Q234" s="11"/>
      <c r="R234" s="11"/>
      <c r="S234" s="11"/>
      <c r="T234" s="11"/>
      <c r="U234" s="15"/>
      <c r="V234" s="11"/>
      <c r="W234" s="11"/>
      <c r="X234" s="11"/>
      <c r="Y234" s="11"/>
      <c r="Z234" s="11"/>
    </row>
    <row r="235">
      <c r="A235" s="18"/>
      <c r="B235" s="11"/>
      <c r="C235" s="11"/>
      <c r="D235" s="11"/>
      <c r="E235" s="11"/>
      <c r="F235" s="11"/>
      <c r="G235" s="11"/>
      <c r="H235" s="11"/>
      <c r="I235" s="11"/>
      <c r="J235" s="11"/>
      <c r="K235" s="11"/>
      <c r="L235" s="15"/>
      <c r="M235" s="15"/>
      <c r="N235" s="15"/>
      <c r="O235" s="15"/>
      <c r="P235" s="15"/>
      <c r="Q235" s="11"/>
      <c r="R235" s="11"/>
      <c r="S235" s="11"/>
      <c r="T235" s="11"/>
      <c r="U235" s="15"/>
      <c r="V235" s="11"/>
      <c r="W235" s="11"/>
      <c r="X235" s="11"/>
      <c r="Y235" s="11"/>
      <c r="Z235" s="11"/>
    </row>
    <row r="236">
      <c r="A236" s="18"/>
      <c r="B236" s="11"/>
      <c r="C236" s="11"/>
      <c r="D236" s="11"/>
      <c r="E236" s="11"/>
      <c r="F236" s="11"/>
      <c r="G236" s="11"/>
      <c r="H236" s="11"/>
      <c r="I236" s="11"/>
      <c r="J236" s="11"/>
      <c r="K236" s="11"/>
      <c r="L236" s="15"/>
      <c r="M236" s="15"/>
      <c r="N236" s="15"/>
      <c r="O236" s="15"/>
      <c r="P236" s="15"/>
      <c r="Q236" s="11"/>
      <c r="R236" s="11"/>
      <c r="S236" s="11"/>
      <c r="T236" s="11"/>
      <c r="U236" s="15"/>
      <c r="V236" s="11"/>
      <c r="W236" s="11"/>
      <c r="X236" s="11"/>
      <c r="Y236" s="11"/>
      <c r="Z236" s="11"/>
    </row>
    <row r="237">
      <c r="A237" s="18"/>
      <c r="B237" s="11"/>
      <c r="C237" s="11"/>
      <c r="D237" s="11"/>
      <c r="E237" s="11"/>
      <c r="F237" s="11"/>
      <c r="G237" s="11"/>
      <c r="H237" s="11"/>
      <c r="I237" s="11"/>
      <c r="J237" s="11"/>
      <c r="K237" s="11"/>
      <c r="L237" s="15"/>
      <c r="M237" s="15"/>
      <c r="N237" s="15"/>
      <c r="O237" s="15"/>
      <c r="P237" s="15"/>
      <c r="Q237" s="11"/>
      <c r="R237" s="11"/>
      <c r="S237" s="11"/>
      <c r="T237" s="11"/>
      <c r="U237" s="15"/>
      <c r="V237" s="11"/>
      <c r="W237" s="11"/>
      <c r="X237" s="11"/>
      <c r="Y237" s="11"/>
      <c r="Z237" s="11"/>
    </row>
    <row r="238">
      <c r="A238" s="18"/>
      <c r="B238" s="11"/>
      <c r="C238" s="11"/>
      <c r="D238" s="11"/>
      <c r="E238" s="11"/>
      <c r="F238" s="11"/>
      <c r="G238" s="11"/>
      <c r="H238" s="11"/>
      <c r="I238" s="11"/>
      <c r="J238" s="11"/>
      <c r="K238" s="11"/>
      <c r="L238" s="15"/>
      <c r="M238" s="15"/>
      <c r="N238" s="15"/>
      <c r="O238" s="15"/>
      <c r="P238" s="15"/>
      <c r="Q238" s="11"/>
      <c r="R238" s="11"/>
      <c r="S238" s="11"/>
      <c r="T238" s="11"/>
      <c r="U238" s="15"/>
      <c r="V238" s="11"/>
      <c r="W238" s="11"/>
      <c r="X238" s="11"/>
      <c r="Y238" s="11"/>
      <c r="Z238" s="11"/>
    </row>
    <row r="239">
      <c r="A239" s="18"/>
      <c r="B239" s="11"/>
      <c r="C239" s="11"/>
      <c r="D239" s="11"/>
      <c r="E239" s="11"/>
      <c r="F239" s="11"/>
      <c r="G239" s="11"/>
      <c r="H239" s="11"/>
      <c r="I239" s="11"/>
      <c r="J239" s="11"/>
      <c r="K239" s="11"/>
      <c r="L239" s="15"/>
      <c r="M239" s="15"/>
      <c r="N239" s="15"/>
      <c r="O239" s="15"/>
      <c r="P239" s="15"/>
      <c r="Q239" s="11"/>
      <c r="R239" s="11"/>
      <c r="S239" s="11"/>
      <c r="T239" s="11"/>
      <c r="U239" s="15"/>
      <c r="V239" s="11"/>
      <c r="W239" s="11"/>
      <c r="X239" s="11"/>
      <c r="Y239" s="11"/>
      <c r="Z239" s="11"/>
    </row>
    <row r="240">
      <c r="A240" s="18"/>
      <c r="B240" s="11"/>
      <c r="C240" s="11"/>
      <c r="D240" s="11"/>
      <c r="E240" s="11"/>
      <c r="F240" s="11"/>
      <c r="G240" s="11"/>
      <c r="H240" s="11"/>
      <c r="I240" s="11"/>
      <c r="J240" s="11"/>
      <c r="K240" s="11"/>
      <c r="L240" s="15"/>
      <c r="M240" s="15"/>
      <c r="N240" s="15"/>
      <c r="O240" s="15"/>
      <c r="P240" s="15"/>
      <c r="Q240" s="11"/>
      <c r="R240" s="11"/>
      <c r="S240" s="11"/>
      <c r="T240" s="11"/>
      <c r="U240" s="15"/>
      <c r="V240" s="11"/>
      <c r="W240" s="11"/>
      <c r="X240" s="11"/>
      <c r="Y240" s="11"/>
      <c r="Z240" s="11"/>
    </row>
    <row r="241">
      <c r="A241" s="18"/>
      <c r="B241" s="11"/>
      <c r="C241" s="11"/>
      <c r="D241" s="11"/>
      <c r="E241" s="11"/>
      <c r="F241" s="11"/>
      <c r="G241" s="11"/>
      <c r="H241" s="11"/>
      <c r="I241" s="11"/>
      <c r="J241" s="11"/>
      <c r="K241" s="11"/>
      <c r="L241" s="15"/>
      <c r="M241" s="15"/>
      <c r="N241" s="15"/>
      <c r="O241" s="15"/>
      <c r="P241" s="15"/>
      <c r="Q241" s="11"/>
      <c r="R241" s="11"/>
      <c r="S241" s="11"/>
      <c r="T241" s="11"/>
      <c r="U241" s="15"/>
      <c r="V241" s="11"/>
      <c r="W241" s="11"/>
      <c r="X241" s="11"/>
      <c r="Y241" s="11"/>
      <c r="Z241" s="11"/>
    </row>
    <row r="242">
      <c r="A242" s="18"/>
      <c r="B242" s="11"/>
      <c r="C242" s="11"/>
      <c r="D242" s="11"/>
      <c r="E242" s="11"/>
      <c r="F242" s="11"/>
      <c r="G242" s="11"/>
      <c r="H242" s="11"/>
      <c r="I242" s="11"/>
      <c r="J242" s="11"/>
      <c r="K242" s="11"/>
      <c r="L242" s="15"/>
      <c r="M242" s="15"/>
      <c r="N242" s="15"/>
      <c r="O242" s="15"/>
      <c r="P242" s="15"/>
      <c r="Q242" s="11"/>
      <c r="R242" s="11"/>
      <c r="S242" s="11"/>
      <c r="T242" s="11"/>
      <c r="U242" s="15"/>
      <c r="V242" s="11"/>
      <c r="W242" s="11"/>
      <c r="X242" s="11"/>
      <c r="Y242" s="11"/>
      <c r="Z242" s="11"/>
    </row>
    <row r="243">
      <c r="A243" s="18"/>
      <c r="B243" s="11"/>
      <c r="C243" s="11"/>
      <c r="D243" s="11"/>
      <c r="E243" s="11"/>
      <c r="F243" s="11"/>
      <c r="G243" s="11"/>
      <c r="H243" s="11"/>
      <c r="I243" s="11"/>
      <c r="J243" s="11"/>
      <c r="K243" s="11"/>
      <c r="L243" s="15"/>
      <c r="M243" s="15"/>
      <c r="N243" s="15"/>
      <c r="O243" s="15"/>
      <c r="P243" s="15"/>
      <c r="Q243" s="11"/>
      <c r="R243" s="11"/>
      <c r="S243" s="11"/>
      <c r="T243" s="11"/>
      <c r="U243" s="15"/>
      <c r="V243" s="11"/>
      <c r="W243" s="11"/>
      <c r="X243" s="11"/>
      <c r="Y243" s="11"/>
      <c r="Z243" s="11"/>
    </row>
    <row r="244">
      <c r="A244" s="18"/>
      <c r="B244" s="11"/>
      <c r="C244" s="11"/>
      <c r="D244" s="11"/>
      <c r="E244" s="11"/>
      <c r="F244" s="11"/>
      <c r="G244" s="11"/>
      <c r="H244" s="11"/>
      <c r="I244" s="11"/>
      <c r="J244" s="11"/>
      <c r="K244" s="11"/>
      <c r="L244" s="15"/>
      <c r="M244" s="15"/>
      <c r="N244" s="15"/>
      <c r="O244" s="15"/>
      <c r="P244" s="15"/>
      <c r="Q244" s="11"/>
      <c r="R244" s="11"/>
      <c r="S244" s="11"/>
      <c r="T244" s="11"/>
      <c r="U244" s="15"/>
      <c r="V244" s="11"/>
      <c r="W244" s="11"/>
      <c r="X244" s="11"/>
      <c r="Y244" s="11"/>
      <c r="Z244" s="11"/>
    </row>
    <row r="245">
      <c r="A245" s="18"/>
      <c r="B245" s="11"/>
      <c r="C245" s="11"/>
      <c r="D245" s="11"/>
      <c r="E245" s="11"/>
      <c r="F245" s="11"/>
      <c r="G245" s="11"/>
      <c r="H245" s="11"/>
      <c r="I245" s="11"/>
      <c r="J245" s="11"/>
      <c r="K245" s="11"/>
      <c r="L245" s="15"/>
      <c r="M245" s="15"/>
      <c r="N245" s="15"/>
      <c r="O245" s="15"/>
      <c r="P245" s="15"/>
      <c r="Q245" s="11"/>
      <c r="R245" s="11"/>
      <c r="S245" s="11"/>
      <c r="T245" s="11"/>
      <c r="U245" s="15"/>
      <c r="V245" s="11"/>
      <c r="W245" s="11"/>
      <c r="X245" s="11"/>
      <c r="Y245" s="11"/>
      <c r="Z245" s="11"/>
    </row>
    <row r="246">
      <c r="A246" s="18"/>
      <c r="B246" s="11"/>
      <c r="C246" s="11"/>
      <c r="D246" s="11"/>
      <c r="E246" s="11"/>
      <c r="F246" s="11"/>
      <c r="G246" s="11"/>
      <c r="H246" s="11"/>
      <c r="I246" s="11"/>
      <c r="J246" s="11"/>
      <c r="K246" s="11"/>
      <c r="L246" s="15"/>
      <c r="M246" s="15"/>
      <c r="N246" s="15"/>
      <c r="O246" s="15"/>
      <c r="P246" s="15"/>
      <c r="Q246" s="11"/>
      <c r="R246" s="11"/>
      <c r="S246" s="11"/>
      <c r="T246" s="11"/>
      <c r="U246" s="15"/>
      <c r="V246" s="11"/>
      <c r="W246" s="11"/>
      <c r="X246" s="11"/>
      <c r="Y246" s="11"/>
      <c r="Z246" s="11"/>
    </row>
    <row r="247">
      <c r="A247" s="18"/>
      <c r="B247" s="11"/>
      <c r="C247" s="11"/>
      <c r="D247" s="11"/>
      <c r="E247" s="11"/>
      <c r="F247" s="11"/>
      <c r="G247" s="11"/>
      <c r="H247" s="11"/>
      <c r="I247" s="11"/>
      <c r="J247" s="11"/>
      <c r="K247" s="11"/>
      <c r="L247" s="15"/>
      <c r="M247" s="15"/>
      <c r="N247" s="15"/>
      <c r="O247" s="15"/>
      <c r="P247" s="15"/>
      <c r="Q247" s="11"/>
      <c r="R247" s="11"/>
      <c r="S247" s="11"/>
      <c r="T247" s="11"/>
      <c r="U247" s="15"/>
      <c r="V247" s="11"/>
      <c r="W247" s="11"/>
      <c r="X247" s="11"/>
      <c r="Y247" s="11"/>
      <c r="Z247" s="11"/>
    </row>
    <row r="248">
      <c r="A248" s="18"/>
      <c r="B248" s="11"/>
      <c r="C248" s="11"/>
      <c r="D248" s="11"/>
      <c r="E248" s="11"/>
      <c r="F248" s="11"/>
      <c r="G248" s="11"/>
      <c r="H248" s="11"/>
      <c r="I248" s="11"/>
      <c r="J248" s="11"/>
      <c r="K248" s="11"/>
      <c r="L248" s="15"/>
      <c r="M248" s="15"/>
      <c r="N248" s="15"/>
      <c r="O248" s="15"/>
      <c r="P248" s="15"/>
      <c r="Q248" s="11"/>
      <c r="R248" s="11"/>
      <c r="S248" s="11"/>
      <c r="T248" s="11"/>
      <c r="U248" s="15"/>
      <c r="V248" s="11"/>
      <c r="W248" s="11"/>
      <c r="X248" s="11"/>
      <c r="Y248" s="11"/>
      <c r="Z248" s="11"/>
    </row>
    <row r="249">
      <c r="A249" s="18"/>
      <c r="B249" s="11"/>
      <c r="C249" s="11"/>
      <c r="D249" s="11"/>
      <c r="E249" s="11"/>
      <c r="F249" s="11"/>
      <c r="G249" s="11"/>
      <c r="H249" s="11"/>
      <c r="I249" s="11"/>
      <c r="J249" s="11"/>
      <c r="K249" s="11"/>
      <c r="L249" s="15"/>
      <c r="M249" s="15"/>
      <c r="N249" s="15"/>
      <c r="O249" s="15"/>
      <c r="P249" s="15"/>
      <c r="Q249" s="11"/>
      <c r="R249" s="11"/>
      <c r="S249" s="11"/>
      <c r="T249" s="11"/>
      <c r="U249" s="15"/>
      <c r="V249" s="11"/>
      <c r="W249" s="11"/>
      <c r="X249" s="11"/>
      <c r="Y249" s="11"/>
      <c r="Z249" s="11"/>
    </row>
    <row r="250">
      <c r="A250" s="18"/>
      <c r="B250" s="11"/>
      <c r="C250" s="11"/>
      <c r="D250" s="11"/>
      <c r="E250" s="11"/>
      <c r="F250" s="11"/>
      <c r="G250" s="11"/>
      <c r="H250" s="11"/>
      <c r="I250" s="11"/>
      <c r="J250" s="11"/>
      <c r="K250" s="11"/>
      <c r="L250" s="15"/>
      <c r="M250" s="15"/>
      <c r="N250" s="15"/>
      <c r="O250" s="15"/>
      <c r="P250" s="15"/>
      <c r="Q250" s="11"/>
      <c r="R250" s="11"/>
      <c r="S250" s="11"/>
      <c r="T250" s="11"/>
      <c r="U250" s="15"/>
      <c r="V250" s="11"/>
      <c r="W250" s="11"/>
      <c r="X250" s="11"/>
      <c r="Y250" s="11"/>
      <c r="Z250" s="11"/>
    </row>
    <row r="251">
      <c r="A251" s="18"/>
      <c r="B251" s="11"/>
      <c r="C251" s="11"/>
      <c r="D251" s="11"/>
      <c r="E251" s="11"/>
      <c r="F251" s="11"/>
      <c r="G251" s="11"/>
      <c r="H251" s="11"/>
      <c r="I251" s="11"/>
      <c r="J251" s="11"/>
      <c r="K251" s="11"/>
      <c r="L251" s="15"/>
      <c r="M251" s="15"/>
      <c r="N251" s="15"/>
      <c r="O251" s="15"/>
      <c r="P251" s="15"/>
      <c r="Q251" s="11"/>
      <c r="R251" s="11"/>
      <c r="S251" s="11"/>
      <c r="T251" s="11"/>
      <c r="U251" s="15"/>
      <c r="V251" s="11"/>
      <c r="W251" s="11"/>
      <c r="X251" s="11"/>
      <c r="Y251" s="11"/>
      <c r="Z251" s="11"/>
    </row>
    <row r="252">
      <c r="A252" s="18"/>
      <c r="B252" s="11"/>
      <c r="C252" s="11"/>
      <c r="D252" s="11"/>
      <c r="E252" s="11"/>
      <c r="F252" s="11"/>
      <c r="G252" s="11"/>
      <c r="H252" s="11"/>
      <c r="I252" s="11"/>
      <c r="J252" s="11"/>
      <c r="K252" s="11"/>
      <c r="L252" s="15"/>
      <c r="M252" s="15"/>
      <c r="N252" s="15"/>
      <c r="O252" s="15"/>
      <c r="P252" s="15"/>
      <c r="Q252" s="11"/>
      <c r="R252" s="11"/>
      <c r="S252" s="11"/>
      <c r="T252" s="11"/>
      <c r="U252" s="15"/>
      <c r="V252" s="11"/>
      <c r="W252" s="11"/>
      <c r="X252" s="11"/>
      <c r="Y252" s="11"/>
      <c r="Z252" s="11"/>
    </row>
    <row r="253">
      <c r="A253" s="18"/>
      <c r="B253" s="11"/>
      <c r="C253" s="11"/>
      <c r="D253" s="11"/>
      <c r="E253" s="11"/>
      <c r="F253" s="11"/>
      <c r="G253" s="11"/>
      <c r="H253" s="11"/>
      <c r="I253" s="11"/>
      <c r="J253" s="11"/>
      <c r="K253" s="11"/>
      <c r="L253" s="15"/>
      <c r="M253" s="15"/>
      <c r="N253" s="15"/>
      <c r="O253" s="15"/>
      <c r="P253" s="15"/>
      <c r="Q253" s="11"/>
      <c r="R253" s="11"/>
      <c r="S253" s="11"/>
      <c r="T253" s="11"/>
      <c r="U253" s="15"/>
      <c r="V253" s="11"/>
      <c r="W253" s="11"/>
      <c r="X253" s="11"/>
      <c r="Y253" s="11"/>
      <c r="Z253" s="11"/>
    </row>
    <row r="254">
      <c r="A254" s="18"/>
      <c r="B254" s="11"/>
      <c r="C254" s="11"/>
      <c r="D254" s="11"/>
      <c r="E254" s="11"/>
      <c r="F254" s="11"/>
      <c r="G254" s="11"/>
      <c r="H254" s="11"/>
      <c r="I254" s="11"/>
      <c r="J254" s="11"/>
      <c r="K254" s="11"/>
      <c r="L254" s="15"/>
      <c r="M254" s="15"/>
      <c r="N254" s="15"/>
      <c r="O254" s="15"/>
      <c r="P254" s="15"/>
      <c r="Q254" s="11"/>
      <c r="R254" s="11"/>
      <c r="S254" s="11"/>
      <c r="T254" s="11"/>
      <c r="U254" s="15"/>
      <c r="V254" s="11"/>
      <c r="W254" s="11"/>
      <c r="X254" s="11"/>
      <c r="Y254" s="11"/>
      <c r="Z254" s="11"/>
    </row>
    <row r="255">
      <c r="A255" s="18"/>
      <c r="B255" s="11"/>
      <c r="C255" s="11"/>
      <c r="D255" s="11"/>
      <c r="E255" s="11"/>
      <c r="F255" s="11"/>
      <c r="G255" s="11"/>
      <c r="H255" s="11"/>
      <c r="I255" s="11"/>
      <c r="J255" s="11"/>
      <c r="K255" s="11"/>
      <c r="L255" s="15"/>
      <c r="M255" s="15"/>
      <c r="N255" s="15"/>
      <c r="O255" s="15"/>
      <c r="P255" s="15"/>
      <c r="Q255" s="11"/>
      <c r="R255" s="11"/>
      <c r="S255" s="11"/>
      <c r="T255" s="11"/>
      <c r="U255" s="15"/>
      <c r="V255" s="11"/>
      <c r="W255" s="11"/>
      <c r="X255" s="11"/>
      <c r="Y255" s="11"/>
      <c r="Z255" s="11"/>
    </row>
    <row r="256">
      <c r="A256" s="18"/>
      <c r="B256" s="11"/>
      <c r="C256" s="11"/>
      <c r="D256" s="11"/>
      <c r="E256" s="11"/>
      <c r="F256" s="11"/>
      <c r="G256" s="11"/>
      <c r="H256" s="11"/>
      <c r="I256" s="11"/>
      <c r="J256" s="11"/>
      <c r="K256" s="11"/>
      <c r="L256" s="15"/>
      <c r="M256" s="15"/>
      <c r="N256" s="15"/>
      <c r="O256" s="15"/>
      <c r="P256" s="15"/>
      <c r="Q256" s="11"/>
      <c r="R256" s="11"/>
      <c r="S256" s="11"/>
      <c r="T256" s="11"/>
      <c r="U256" s="15"/>
      <c r="V256" s="11"/>
      <c r="W256" s="11"/>
      <c r="X256" s="11"/>
      <c r="Y256" s="11"/>
      <c r="Z256" s="11"/>
    </row>
    <row r="257">
      <c r="A257" s="18"/>
      <c r="B257" s="11"/>
      <c r="C257" s="11"/>
      <c r="D257" s="11"/>
      <c r="E257" s="11"/>
      <c r="F257" s="11"/>
      <c r="G257" s="11"/>
      <c r="H257" s="11"/>
      <c r="I257" s="11"/>
      <c r="J257" s="11"/>
      <c r="K257" s="11"/>
      <c r="L257" s="15"/>
      <c r="M257" s="15"/>
      <c r="N257" s="15"/>
      <c r="O257" s="15"/>
      <c r="P257" s="15"/>
      <c r="Q257" s="11"/>
      <c r="R257" s="11"/>
      <c r="S257" s="11"/>
      <c r="T257" s="11"/>
      <c r="U257" s="15"/>
      <c r="V257" s="11"/>
      <c r="W257" s="11"/>
      <c r="X257" s="11"/>
      <c r="Y257" s="11"/>
      <c r="Z257" s="11"/>
    </row>
    <row r="258">
      <c r="A258" s="18"/>
      <c r="B258" s="11"/>
      <c r="C258" s="11"/>
      <c r="D258" s="11"/>
      <c r="E258" s="11"/>
      <c r="F258" s="11"/>
      <c r="G258" s="11"/>
      <c r="H258" s="11"/>
      <c r="I258" s="11"/>
      <c r="J258" s="11"/>
      <c r="K258" s="11"/>
      <c r="L258" s="15"/>
      <c r="M258" s="15"/>
      <c r="N258" s="15"/>
      <c r="O258" s="15"/>
      <c r="P258" s="15"/>
      <c r="Q258" s="11"/>
      <c r="R258" s="11"/>
      <c r="S258" s="11"/>
      <c r="T258" s="11"/>
      <c r="U258" s="15"/>
      <c r="V258" s="11"/>
      <c r="W258" s="11"/>
      <c r="X258" s="11"/>
      <c r="Y258" s="11"/>
      <c r="Z258" s="11"/>
    </row>
    <row r="259">
      <c r="A259" s="18"/>
      <c r="B259" s="11"/>
      <c r="C259" s="11"/>
      <c r="D259" s="11"/>
      <c r="E259" s="11"/>
      <c r="F259" s="11"/>
      <c r="G259" s="11"/>
      <c r="H259" s="11"/>
      <c r="I259" s="11"/>
      <c r="J259" s="11"/>
      <c r="K259" s="11"/>
      <c r="L259" s="15"/>
      <c r="M259" s="15"/>
      <c r="N259" s="15"/>
      <c r="O259" s="15"/>
      <c r="P259" s="15"/>
      <c r="Q259" s="11"/>
      <c r="R259" s="11"/>
      <c r="S259" s="11"/>
      <c r="T259" s="11"/>
      <c r="U259" s="15"/>
      <c r="V259" s="11"/>
      <c r="W259" s="11"/>
      <c r="X259" s="11"/>
      <c r="Y259" s="11"/>
      <c r="Z259" s="11"/>
    </row>
    <row r="260">
      <c r="A260" s="18"/>
      <c r="B260" s="11"/>
      <c r="C260" s="11"/>
      <c r="D260" s="11"/>
      <c r="E260" s="11"/>
      <c r="F260" s="11"/>
      <c r="G260" s="11"/>
      <c r="H260" s="11"/>
      <c r="I260" s="11"/>
      <c r="J260" s="11"/>
      <c r="K260" s="11"/>
      <c r="L260" s="15"/>
      <c r="M260" s="15"/>
      <c r="N260" s="15"/>
      <c r="O260" s="15"/>
      <c r="P260" s="15"/>
      <c r="Q260" s="11"/>
      <c r="R260" s="11"/>
      <c r="S260" s="11"/>
      <c r="T260" s="11"/>
      <c r="U260" s="15"/>
      <c r="V260" s="11"/>
      <c r="W260" s="11"/>
      <c r="X260" s="11"/>
      <c r="Y260" s="11"/>
      <c r="Z260" s="11"/>
    </row>
    <row r="261">
      <c r="A261" s="18"/>
      <c r="B261" s="11"/>
      <c r="C261" s="11"/>
      <c r="D261" s="11"/>
      <c r="E261" s="11"/>
      <c r="F261" s="11"/>
      <c r="G261" s="11"/>
      <c r="H261" s="11"/>
      <c r="I261" s="11"/>
      <c r="J261" s="11"/>
      <c r="K261" s="11"/>
      <c r="L261" s="15"/>
      <c r="M261" s="15"/>
      <c r="N261" s="15"/>
      <c r="O261" s="15"/>
      <c r="P261" s="15"/>
      <c r="Q261" s="11"/>
      <c r="R261" s="11"/>
      <c r="S261" s="11"/>
      <c r="T261" s="11"/>
      <c r="U261" s="15"/>
      <c r="V261" s="11"/>
      <c r="W261" s="11"/>
      <c r="X261" s="11"/>
      <c r="Y261" s="11"/>
      <c r="Z261" s="11"/>
    </row>
    <row r="262">
      <c r="A262" s="18"/>
      <c r="B262" s="11"/>
      <c r="C262" s="11"/>
      <c r="D262" s="11"/>
      <c r="E262" s="11"/>
      <c r="F262" s="11"/>
      <c r="G262" s="11"/>
      <c r="H262" s="11"/>
      <c r="I262" s="11"/>
      <c r="J262" s="11"/>
      <c r="K262" s="11"/>
      <c r="L262" s="15"/>
      <c r="M262" s="15"/>
      <c r="N262" s="15"/>
      <c r="O262" s="15"/>
      <c r="P262" s="15"/>
      <c r="Q262" s="11"/>
      <c r="R262" s="11"/>
      <c r="S262" s="11"/>
      <c r="T262" s="11"/>
      <c r="U262" s="15"/>
      <c r="V262" s="11"/>
      <c r="W262" s="11"/>
      <c r="X262" s="11"/>
      <c r="Y262" s="11"/>
      <c r="Z262" s="11"/>
    </row>
    <row r="263">
      <c r="A263" s="18"/>
      <c r="B263" s="11"/>
      <c r="C263" s="11"/>
      <c r="D263" s="11"/>
      <c r="E263" s="11"/>
      <c r="F263" s="11"/>
      <c r="G263" s="11"/>
      <c r="H263" s="11"/>
      <c r="I263" s="11"/>
      <c r="J263" s="11"/>
      <c r="K263" s="11"/>
      <c r="L263" s="15"/>
      <c r="M263" s="15"/>
      <c r="N263" s="15"/>
      <c r="O263" s="15"/>
      <c r="P263" s="15"/>
      <c r="Q263" s="11"/>
      <c r="R263" s="11"/>
      <c r="S263" s="11"/>
      <c r="T263" s="11"/>
      <c r="U263" s="15"/>
      <c r="V263" s="11"/>
      <c r="W263" s="11"/>
      <c r="X263" s="11"/>
      <c r="Y263" s="11"/>
      <c r="Z263" s="11"/>
    </row>
    <row r="264">
      <c r="A264" s="18"/>
      <c r="B264" s="11"/>
      <c r="C264" s="11"/>
      <c r="D264" s="11"/>
      <c r="E264" s="11"/>
      <c r="F264" s="11"/>
      <c r="G264" s="11"/>
      <c r="H264" s="11"/>
      <c r="I264" s="11"/>
      <c r="J264" s="11"/>
      <c r="K264" s="11"/>
      <c r="L264" s="15"/>
      <c r="M264" s="15"/>
      <c r="N264" s="15"/>
      <c r="O264" s="15"/>
      <c r="P264" s="15"/>
      <c r="Q264" s="11"/>
      <c r="R264" s="11"/>
      <c r="S264" s="11"/>
      <c r="T264" s="11"/>
      <c r="U264" s="15"/>
      <c r="V264" s="11"/>
      <c r="W264" s="11"/>
      <c r="X264" s="11"/>
      <c r="Y264" s="11"/>
      <c r="Z264" s="11"/>
    </row>
    <row r="265">
      <c r="A265" s="18"/>
      <c r="B265" s="11"/>
      <c r="C265" s="11"/>
      <c r="D265" s="11"/>
      <c r="E265" s="11"/>
      <c r="F265" s="11"/>
      <c r="G265" s="11"/>
      <c r="H265" s="11"/>
      <c r="I265" s="11"/>
      <c r="J265" s="11"/>
      <c r="K265" s="11"/>
      <c r="L265" s="15"/>
      <c r="M265" s="15"/>
      <c r="N265" s="15"/>
      <c r="O265" s="15"/>
      <c r="P265" s="15"/>
      <c r="Q265" s="11"/>
      <c r="R265" s="11"/>
      <c r="S265" s="11"/>
      <c r="T265" s="11"/>
      <c r="U265" s="15"/>
      <c r="V265" s="11"/>
      <c r="W265" s="11"/>
      <c r="X265" s="11"/>
      <c r="Y265" s="11"/>
      <c r="Z265" s="11"/>
    </row>
    <row r="266">
      <c r="A266" s="18"/>
      <c r="B266" s="11"/>
      <c r="C266" s="11"/>
      <c r="D266" s="11"/>
      <c r="E266" s="11"/>
      <c r="F266" s="11"/>
      <c r="G266" s="11"/>
      <c r="H266" s="11"/>
      <c r="I266" s="11"/>
      <c r="J266" s="11"/>
      <c r="K266" s="11"/>
      <c r="L266" s="15"/>
      <c r="M266" s="15"/>
      <c r="N266" s="15"/>
      <c r="O266" s="15"/>
      <c r="P266" s="15"/>
      <c r="Q266" s="11"/>
      <c r="R266" s="11"/>
      <c r="S266" s="11"/>
      <c r="T266" s="11"/>
      <c r="U266" s="15"/>
      <c r="V266" s="11"/>
      <c r="W266" s="11"/>
      <c r="X266" s="11"/>
      <c r="Y266" s="11"/>
      <c r="Z266" s="11"/>
    </row>
    <row r="267">
      <c r="A267" s="18"/>
      <c r="B267" s="11"/>
      <c r="C267" s="11"/>
      <c r="D267" s="11"/>
      <c r="E267" s="11"/>
      <c r="F267" s="11"/>
      <c r="G267" s="11"/>
      <c r="H267" s="11"/>
      <c r="I267" s="11"/>
      <c r="J267" s="11"/>
      <c r="K267" s="11"/>
      <c r="L267" s="15"/>
      <c r="M267" s="15"/>
      <c r="N267" s="15"/>
      <c r="O267" s="15"/>
      <c r="P267" s="15"/>
      <c r="Q267" s="11"/>
      <c r="R267" s="11"/>
      <c r="S267" s="11"/>
      <c r="T267" s="11"/>
      <c r="U267" s="15"/>
      <c r="V267" s="11"/>
      <c r="W267" s="11"/>
      <c r="X267" s="11"/>
      <c r="Y267" s="11"/>
      <c r="Z267" s="11"/>
    </row>
    <row r="268">
      <c r="A268" s="18"/>
      <c r="B268" s="11"/>
      <c r="C268" s="11"/>
      <c r="D268" s="11"/>
      <c r="E268" s="11"/>
      <c r="F268" s="11"/>
      <c r="G268" s="11"/>
      <c r="H268" s="11"/>
      <c r="I268" s="11"/>
      <c r="J268" s="11"/>
      <c r="K268" s="11"/>
      <c r="L268" s="15"/>
      <c r="M268" s="15"/>
      <c r="N268" s="15"/>
      <c r="O268" s="15"/>
      <c r="P268" s="15"/>
      <c r="Q268" s="11"/>
      <c r="R268" s="11"/>
      <c r="S268" s="11"/>
      <c r="T268" s="11"/>
      <c r="U268" s="15"/>
      <c r="V268" s="11"/>
      <c r="W268" s="11"/>
      <c r="X268" s="11"/>
      <c r="Y268" s="11"/>
      <c r="Z268" s="11"/>
    </row>
    <row r="269">
      <c r="A269" s="18"/>
      <c r="B269" s="11"/>
      <c r="C269" s="11"/>
      <c r="D269" s="11"/>
      <c r="E269" s="11"/>
      <c r="F269" s="11"/>
      <c r="G269" s="11"/>
      <c r="H269" s="11"/>
      <c r="I269" s="11"/>
      <c r="J269" s="11"/>
      <c r="K269" s="11"/>
      <c r="L269" s="15"/>
      <c r="M269" s="15"/>
      <c r="N269" s="15"/>
      <c r="O269" s="15"/>
      <c r="P269" s="15"/>
      <c r="Q269" s="11"/>
      <c r="R269" s="11"/>
      <c r="S269" s="11"/>
      <c r="T269" s="11"/>
      <c r="U269" s="15"/>
      <c r="V269" s="11"/>
      <c r="W269" s="11"/>
      <c r="X269" s="11"/>
      <c r="Y269" s="11"/>
      <c r="Z269" s="11"/>
    </row>
    <row r="270">
      <c r="A270" s="18"/>
      <c r="B270" s="11"/>
      <c r="C270" s="11"/>
      <c r="D270" s="11"/>
      <c r="E270" s="11"/>
      <c r="F270" s="11"/>
      <c r="G270" s="11"/>
      <c r="H270" s="11"/>
      <c r="I270" s="11"/>
      <c r="J270" s="11"/>
      <c r="K270" s="11"/>
      <c r="L270" s="15"/>
      <c r="M270" s="15"/>
      <c r="N270" s="15"/>
      <c r="O270" s="15"/>
      <c r="P270" s="15"/>
      <c r="Q270" s="11"/>
      <c r="R270" s="11"/>
      <c r="S270" s="11"/>
      <c r="T270" s="11"/>
      <c r="U270" s="15"/>
      <c r="V270" s="11"/>
      <c r="W270" s="11"/>
      <c r="X270" s="11"/>
      <c r="Y270" s="11"/>
      <c r="Z270" s="11"/>
    </row>
    <row r="271">
      <c r="A271" s="18"/>
      <c r="B271" s="11"/>
      <c r="C271" s="11"/>
      <c r="D271" s="11"/>
      <c r="E271" s="11"/>
      <c r="F271" s="11"/>
      <c r="G271" s="11"/>
      <c r="H271" s="11"/>
      <c r="I271" s="11"/>
      <c r="J271" s="11"/>
      <c r="K271" s="11"/>
      <c r="L271" s="15"/>
      <c r="M271" s="15"/>
      <c r="N271" s="15"/>
      <c r="O271" s="15"/>
      <c r="P271" s="15"/>
      <c r="Q271" s="11"/>
      <c r="R271" s="11"/>
      <c r="S271" s="11"/>
      <c r="T271" s="11"/>
      <c r="U271" s="15"/>
      <c r="V271" s="11"/>
      <c r="W271" s="11"/>
      <c r="X271" s="11"/>
      <c r="Y271" s="11"/>
      <c r="Z271" s="11"/>
    </row>
    <row r="272">
      <c r="A272" s="18"/>
      <c r="B272" s="11"/>
      <c r="C272" s="11"/>
      <c r="D272" s="11"/>
      <c r="E272" s="11"/>
      <c r="F272" s="11"/>
      <c r="G272" s="11"/>
      <c r="H272" s="11"/>
      <c r="I272" s="11"/>
      <c r="J272" s="11"/>
      <c r="K272" s="11"/>
      <c r="L272" s="15"/>
      <c r="M272" s="15"/>
      <c r="N272" s="15"/>
      <c r="O272" s="15"/>
      <c r="P272" s="15"/>
      <c r="Q272" s="11"/>
      <c r="R272" s="11"/>
      <c r="S272" s="11"/>
      <c r="T272" s="11"/>
      <c r="U272" s="15"/>
      <c r="V272" s="11"/>
      <c r="W272" s="11"/>
      <c r="X272" s="11"/>
      <c r="Y272" s="11"/>
      <c r="Z272" s="11"/>
    </row>
    <row r="273">
      <c r="A273" s="18"/>
      <c r="B273" s="11"/>
      <c r="C273" s="11"/>
      <c r="D273" s="11"/>
      <c r="E273" s="11"/>
      <c r="F273" s="11"/>
      <c r="G273" s="11"/>
      <c r="H273" s="11"/>
      <c r="I273" s="11"/>
      <c r="J273" s="11"/>
      <c r="K273" s="11"/>
      <c r="L273" s="15"/>
      <c r="M273" s="15"/>
      <c r="N273" s="15"/>
      <c r="O273" s="15"/>
      <c r="P273" s="15"/>
      <c r="Q273" s="11"/>
      <c r="R273" s="11"/>
      <c r="S273" s="11"/>
      <c r="T273" s="11"/>
      <c r="U273" s="15"/>
      <c r="V273" s="11"/>
      <c r="W273" s="11"/>
      <c r="X273" s="11"/>
      <c r="Y273" s="11"/>
      <c r="Z273" s="11"/>
    </row>
    <row r="274">
      <c r="A274" s="18"/>
      <c r="B274" s="11"/>
      <c r="C274" s="11"/>
      <c r="D274" s="11"/>
      <c r="E274" s="11"/>
      <c r="F274" s="11"/>
      <c r="G274" s="11"/>
      <c r="H274" s="11"/>
      <c r="I274" s="11"/>
      <c r="J274" s="11"/>
      <c r="K274" s="11"/>
      <c r="L274" s="15"/>
      <c r="M274" s="15"/>
      <c r="N274" s="15"/>
      <c r="O274" s="15"/>
      <c r="P274" s="15"/>
      <c r="Q274" s="11"/>
      <c r="R274" s="11"/>
      <c r="S274" s="11"/>
      <c r="T274" s="11"/>
      <c r="U274" s="15"/>
      <c r="V274" s="11"/>
      <c r="W274" s="11"/>
      <c r="X274" s="11"/>
      <c r="Y274" s="11"/>
      <c r="Z274" s="11"/>
    </row>
    <row r="275">
      <c r="A275" s="18"/>
      <c r="B275" s="11"/>
      <c r="C275" s="11"/>
      <c r="D275" s="11"/>
      <c r="E275" s="11"/>
      <c r="F275" s="11"/>
      <c r="G275" s="11"/>
      <c r="H275" s="11"/>
      <c r="I275" s="11"/>
      <c r="J275" s="11"/>
      <c r="K275" s="11"/>
      <c r="L275" s="15"/>
      <c r="M275" s="15"/>
      <c r="N275" s="15"/>
      <c r="O275" s="15"/>
      <c r="P275" s="15"/>
      <c r="Q275" s="11"/>
      <c r="R275" s="11"/>
      <c r="S275" s="11"/>
      <c r="T275" s="11"/>
      <c r="U275" s="15"/>
      <c r="V275" s="11"/>
      <c r="W275" s="11"/>
      <c r="X275" s="11"/>
      <c r="Y275" s="11"/>
      <c r="Z275" s="11"/>
    </row>
    <row r="276">
      <c r="A276" s="18"/>
      <c r="B276" s="11"/>
      <c r="C276" s="11"/>
      <c r="D276" s="11"/>
      <c r="E276" s="11"/>
      <c r="F276" s="11"/>
      <c r="G276" s="11"/>
      <c r="H276" s="11"/>
      <c r="I276" s="11"/>
      <c r="J276" s="11"/>
      <c r="K276" s="11"/>
      <c r="L276" s="15"/>
      <c r="M276" s="15"/>
      <c r="N276" s="15"/>
      <c r="O276" s="15"/>
      <c r="P276" s="15"/>
      <c r="Q276" s="11"/>
      <c r="R276" s="11"/>
      <c r="S276" s="11"/>
      <c r="T276" s="11"/>
      <c r="U276" s="15"/>
      <c r="V276" s="11"/>
      <c r="W276" s="11"/>
      <c r="X276" s="11"/>
      <c r="Y276" s="11"/>
      <c r="Z276" s="11"/>
    </row>
    <row r="277">
      <c r="A277" s="18"/>
      <c r="B277" s="11"/>
      <c r="C277" s="11"/>
      <c r="D277" s="11"/>
      <c r="E277" s="11"/>
      <c r="F277" s="11"/>
      <c r="G277" s="11"/>
      <c r="H277" s="11"/>
      <c r="I277" s="11"/>
      <c r="J277" s="11"/>
      <c r="K277" s="11"/>
      <c r="L277" s="15"/>
      <c r="M277" s="15"/>
      <c r="N277" s="15"/>
      <c r="O277" s="15"/>
      <c r="P277" s="15"/>
      <c r="Q277" s="11"/>
      <c r="R277" s="11"/>
      <c r="S277" s="11"/>
      <c r="T277" s="11"/>
      <c r="U277" s="15"/>
      <c r="V277" s="11"/>
      <c r="W277" s="11"/>
      <c r="X277" s="11"/>
      <c r="Y277" s="11"/>
      <c r="Z277" s="11"/>
    </row>
    <row r="278">
      <c r="A278" s="18"/>
      <c r="B278" s="11"/>
      <c r="C278" s="11"/>
      <c r="D278" s="11"/>
      <c r="E278" s="11"/>
      <c r="F278" s="11"/>
      <c r="G278" s="11"/>
      <c r="H278" s="11"/>
      <c r="I278" s="11"/>
      <c r="J278" s="11"/>
      <c r="K278" s="11"/>
      <c r="L278" s="15"/>
      <c r="M278" s="15"/>
      <c r="N278" s="15"/>
      <c r="O278" s="15"/>
      <c r="P278" s="15"/>
      <c r="Q278" s="11"/>
      <c r="R278" s="11"/>
      <c r="S278" s="11"/>
      <c r="T278" s="11"/>
      <c r="U278" s="15"/>
      <c r="V278" s="11"/>
      <c r="W278" s="11"/>
      <c r="X278" s="11"/>
      <c r="Y278" s="11"/>
      <c r="Z278" s="11"/>
    </row>
    <row r="279">
      <c r="A279" s="18"/>
      <c r="B279" s="11"/>
      <c r="C279" s="11"/>
      <c r="D279" s="11"/>
      <c r="E279" s="11"/>
      <c r="F279" s="11"/>
      <c r="G279" s="11"/>
      <c r="H279" s="11"/>
      <c r="I279" s="11"/>
      <c r="J279" s="11"/>
      <c r="K279" s="11"/>
      <c r="L279" s="15"/>
      <c r="M279" s="15"/>
      <c r="N279" s="15"/>
      <c r="O279" s="15"/>
      <c r="P279" s="15"/>
      <c r="Q279" s="11"/>
      <c r="R279" s="11"/>
      <c r="S279" s="11"/>
      <c r="T279" s="11"/>
      <c r="U279" s="15"/>
      <c r="V279" s="11"/>
      <c r="W279" s="11"/>
      <c r="X279" s="11"/>
      <c r="Y279" s="11"/>
      <c r="Z279" s="11"/>
    </row>
    <row r="280">
      <c r="A280" s="18"/>
      <c r="B280" s="11"/>
      <c r="C280" s="11"/>
      <c r="D280" s="11"/>
      <c r="E280" s="11"/>
      <c r="F280" s="11"/>
      <c r="G280" s="11"/>
      <c r="H280" s="11"/>
      <c r="I280" s="11"/>
      <c r="J280" s="11"/>
      <c r="K280" s="11"/>
      <c r="L280" s="15"/>
      <c r="M280" s="15"/>
      <c r="N280" s="15"/>
      <c r="O280" s="15"/>
      <c r="P280" s="15"/>
      <c r="Q280" s="11"/>
      <c r="R280" s="11"/>
      <c r="S280" s="11"/>
      <c r="T280" s="11"/>
      <c r="U280" s="15"/>
      <c r="V280" s="11"/>
      <c r="W280" s="11"/>
      <c r="X280" s="11"/>
      <c r="Y280" s="11"/>
      <c r="Z280" s="11"/>
    </row>
    <row r="281">
      <c r="A281" s="18"/>
      <c r="B281" s="11"/>
      <c r="C281" s="11"/>
      <c r="D281" s="11"/>
      <c r="E281" s="11"/>
      <c r="F281" s="11"/>
      <c r="G281" s="11"/>
      <c r="H281" s="11"/>
      <c r="I281" s="11"/>
      <c r="J281" s="11"/>
      <c r="K281" s="11"/>
      <c r="L281" s="15"/>
      <c r="M281" s="15"/>
      <c r="N281" s="15"/>
      <c r="O281" s="15"/>
      <c r="P281" s="15"/>
      <c r="Q281" s="11"/>
      <c r="R281" s="11"/>
      <c r="S281" s="11"/>
      <c r="T281" s="11"/>
      <c r="U281" s="15"/>
      <c r="V281" s="11"/>
      <c r="W281" s="11"/>
      <c r="X281" s="11"/>
      <c r="Y281" s="11"/>
      <c r="Z281" s="11"/>
    </row>
    <row r="282">
      <c r="A282" s="18"/>
      <c r="B282" s="11"/>
      <c r="C282" s="11"/>
      <c r="D282" s="11"/>
      <c r="E282" s="11"/>
      <c r="F282" s="11"/>
      <c r="G282" s="11"/>
      <c r="H282" s="11"/>
      <c r="I282" s="11"/>
      <c r="J282" s="11"/>
      <c r="K282" s="11"/>
      <c r="L282" s="15"/>
      <c r="M282" s="15"/>
      <c r="N282" s="15"/>
      <c r="O282" s="15"/>
      <c r="P282" s="15"/>
      <c r="Q282" s="11"/>
      <c r="R282" s="11"/>
      <c r="S282" s="11"/>
      <c r="T282" s="11"/>
      <c r="U282" s="15"/>
      <c r="V282" s="11"/>
      <c r="W282" s="11"/>
      <c r="X282" s="11"/>
      <c r="Y282" s="11"/>
      <c r="Z282" s="11"/>
    </row>
    <row r="283">
      <c r="A283" s="18"/>
      <c r="B283" s="11"/>
      <c r="C283" s="11"/>
      <c r="D283" s="11"/>
      <c r="E283" s="11"/>
      <c r="F283" s="11"/>
      <c r="G283" s="11"/>
      <c r="H283" s="11"/>
      <c r="I283" s="11"/>
      <c r="J283" s="11"/>
      <c r="K283" s="11"/>
      <c r="L283" s="15"/>
      <c r="M283" s="15"/>
      <c r="N283" s="15"/>
      <c r="O283" s="15"/>
      <c r="P283" s="15"/>
      <c r="Q283" s="11"/>
      <c r="R283" s="11"/>
      <c r="S283" s="11"/>
      <c r="T283" s="11"/>
      <c r="U283" s="15"/>
      <c r="V283" s="11"/>
      <c r="W283" s="11"/>
      <c r="X283" s="11"/>
      <c r="Y283" s="11"/>
      <c r="Z283" s="11"/>
    </row>
    <row r="284">
      <c r="A284" s="18"/>
      <c r="B284" s="11"/>
      <c r="C284" s="11"/>
      <c r="D284" s="11"/>
      <c r="E284" s="11"/>
      <c r="F284" s="11"/>
      <c r="G284" s="11"/>
      <c r="H284" s="11"/>
      <c r="I284" s="11"/>
      <c r="J284" s="11"/>
      <c r="K284" s="11"/>
      <c r="L284" s="15"/>
      <c r="M284" s="15"/>
      <c r="N284" s="15"/>
      <c r="O284" s="15"/>
      <c r="P284" s="15"/>
      <c r="Q284" s="11"/>
      <c r="R284" s="11"/>
      <c r="S284" s="11"/>
      <c r="T284" s="11"/>
      <c r="U284" s="15"/>
      <c r="V284" s="11"/>
      <c r="W284" s="11"/>
      <c r="X284" s="11"/>
      <c r="Y284" s="11"/>
      <c r="Z284" s="11"/>
    </row>
    <row r="285">
      <c r="A285" s="18"/>
      <c r="B285" s="11"/>
      <c r="C285" s="11"/>
      <c r="D285" s="11"/>
      <c r="E285" s="11"/>
      <c r="F285" s="11"/>
      <c r="G285" s="11"/>
      <c r="H285" s="11"/>
      <c r="I285" s="11"/>
      <c r="J285" s="11"/>
      <c r="K285" s="11"/>
      <c r="L285" s="15"/>
      <c r="M285" s="15"/>
      <c r="N285" s="15"/>
      <c r="O285" s="15"/>
      <c r="P285" s="15"/>
      <c r="Q285" s="11"/>
      <c r="R285" s="11"/>
      <c r="S285" s="11"/>
      <c r="T285" s="11"/>
      <c r="U285" s="15"/>
      <c r="V285" s="11"/>
      <c r="W285" s="11"/>
      <c r="X285" s="11"/>
      <c r="Y285" s="11"/>
      <c r="Z285" s="11"/>
    </row>
    <row r="286">
      <c r="A286" s="18"/>
      <c r="B286" s="11"/>
      <c r="C286" s="11"/>
      <c r="D286" s="11"/>
      <c r="E286" s="11"/>
      <c r="F286" s="11"/>
      <c r="G286" s="11"/>
      <c r="H286" s="11"/>
      <c r="I286" s="11"/>
      <c r="J286" s="11"/>
      <c r="K286" s="11"/>
      <c r="L286" s="15"/>
      <c r="M286" s="15"/>
      <c r="N286" s="15"/>
      <c r="O286" s="15"/>
      <c r="P286" s="15"/>
      <c r="Q286" s="11"/>
      <c r="R286" s="11"/>
      <c r="S286" s="11"/>
      <c r="T286" s="11"/>
      <c r="U286" s="15"/>
      <c r="V286" s="11"/>
      <c r="W286" s="11"/>
      <c r="X286" s="11"/>
      <c r="Y286" s="11"/>
      <c r="Z286" s="11"/>
    </row>
    <row r="287">
      <c r="A287" s="18"/>
      <c r="B287" s="11"/>
      <c r="C287" s="11"/>
      <c r="D287" s="11"/>
      <c r="E287" s="11"/>
      <c r="F287" s="11"/>
      <c r="G287" s="11"/>
      <c r="H287" s="11"/>
      <c r="I287" s="11"/>
      <c r="J287" s="11"/>
      <c r="K287" s="11"/>
      <c r="L287" s="15"/>
      <c r="M287" s="15"/>
      <c r="N287" s="15"/>
      <c r="O287" s="15"/>
      <c r="P287" s="15"/>
      <c r="Q287" s="11"/>
      <c r="R287" s="11"/>
      <c r="S287" s="11"/>
      <c r="T287" s="11"/>
      <c r="U287" s="15"/>
      <c r="V287" s="11"/>
      <c r="W287" s="11"/>
      <c r="X287" s="11"/>
      <c r="Y287" s="11"/>
      <c r="Z287" s="11"/>
    </row>
    <row r="288">
      <c r="A288" s="18"/>
      <c r="B288" s="11"/>
      <c r="C288" s="11"/>
      <c r="D288" s="11"/>
      <c r="E288" s="11"/>
      <c r="F288" s="11"/>
      <c r="G288" s="11"/>
      <c r="H288" s="11"/>
      <c r="I288" s="11"/>
      <c r="J288" s="11"/>
      <c r="K288" s="11"/>
      <c r="L288" s="15"/>
      <c r="M288" s="15"/>
      <c r="N288" s="15"/>
      <c r="O288" s="15"/>
      <c r="P288" s="15"/>
      <c r="Q288" s="11"/>
      <c r="R288" s="11"/>
      <c r="S288" s="11"/>
      <c r="T288" s="11"/>
      <c r="U288" s="15"/>
      <c r="V288" s="11"/>
      <c r="W288" s="11"/>
      <c r="X288" s="11"/>
      <c r="Y288" s="11"/>
      <c r="Z288" s="11"/>
    </row>
    <row r="289">
      <c r="A289" s="18"/>
      <c r="B289" s="11"/>
      <c r="C289" s="11"/>
      <c r="D289" s="11"/>
      <c r="E289" s="11"/>
      <c r="F289" s="11"/>
      <c r="G289" s="11"/>
      <c r="H289" s="11"/>
      <c r="I289" s="11"/>
      <c r="J289" s="11"/>
      <c r="K289" s="11"/>
      <c r="L289" s="15"/>
      <c r="M289" s="15"/>
      <c r="N289" s="15"/>
      <c r="O289" s="15"/>
      <c r="P289" s="15"/>
      <c r="Q289" s="11"/>
      <c r="R289" s="11"/>
      <c r="S289" s="11"/>
      <c r="T289" s="11"/>
      <c r="U289" s="15"/>
      <c r="V289" s="11"/>
      <c r="W289" s="11"/>
      <c r="X289" s="11"/>
      <c r="Y289" s="11"/>
      <c r="Z289" s="11"/>
    </row>
    <row r="290">
      <c r="A290" s="18"/>
      <c r="B290" s="11"/>
      <c r="C290" s="11"/>
      <c r="D290" s="11"/>
      <c r="E290" s="11"/>
      <c r="F290" s="11"/>
      <c r="G290" s="11"/>
      <c r="H290" s="11"/>
      <c r="I290" s="11"/>
      <c r="J290" s="11"/>
      <c r="K290" s="11"/>
      <c r="L290" s="15"/>
      <c r="M290" s="15"/>
      <c r="N290" s="15"/>
      <c r="O290" s="15"/>
      <c r="P290" s="15"/>
      <c r="Q290" s="11"/>
      <c r="R290" s="11"/>
      <c r="S290" s="11"/>
      <c r="T290" s="11"/>
      <c r="U290" s="15"/>
      <c r="V290" s="11"/>
      <c r="W290" s="11"/>
      <c r="X290" s="11"/>
      <c r="Y290" s="11"/>
      <c r="Z290" s="11"/>
    </row>
    <row r="291">
      <c r="A291" s="18"/>
      <c r="B291" s="11"/>
      <c r="C291" s="11"/>
      <c r="D291" s="11"/>
      <c r="E291" s="11"/>
      <c r="F291" s="11"/>
      <c r="G291" s="11"/>
      <c r="H291" s="11"/>
      <c r="I291" s="11"/>
      <c r="J291" s="11"/>
      <c r="K291" s="11"/>
      <c r="L291" s="15"/>
      <c r="M291" s="15"/>
      <c r="N291" s="15"/>
      <c r="O291" s="15"/>
      <c r="P291" s="15"/>
      <c r="Q291" s="11"/>
      <c r="R291" s="11"/>
      <c r="S291" s="11"/>
      <c r="T291" s="11"/>
      <c r="U291" s="15"/>
      <c r="V291" s="11"/>
      <c r="W291" s="11"/>
      <c r="X291" s="11"/>
      <c r="Y291" s="11"/>
      <c r="Z291" s="11"/>
    </row>
    <row r="292">
      <c r="A292" s="18"/>
      <c r="B292" s="11"/>
      <c r="C292" s="11"/>
      <c r="D292" s="11"/>
      <c r="E292" s="11"/>
      <c r="F292" s="11"/>
      <c r="G292" s="11"/>
      <c r="H292" s="11"/>
      <c r="I292" s="11"/>
      <c r="J292" s="11"/>
      <c r="K292" s="11"/>
      <c r="L292" s="15"/>
      <c r="M292" s="15"/>
      <c r="N292" s="15"/>
      <c r="O292" s="15"/>
      <c r="P292" s="15"/>
      <c r="Q292" s="11"/>
      <c r="R292" s="11"/>
      <c r="S292" s="11"/>
      <c r="T292" s="11"/>
      <c r="U292" s="15"/>
      <c r="V292" s="11"/>
      <c r="W292" s="11"/>
      <c r="X292" s="11"/>
      <c r="Y292" s="11"/>
      <c r="Z292" s="11"/>
    </row>
    <row r="293">
      <c r="A293" s="18"/>
      <c r="B293" s="11"/>
      <c r="C293" s="11"/>
      <c r="D293" s="11"/>
      <c r="E293" s="11"/>
      <c r="F293" s="11"/>
      <c r="G293" s="11"/>
      <c r="H293" s="11"/>
      <c r="I293" s="11"/>
      <c r="J293" s="11"/>
      <c r="K293" s="11"/>
      <c r="L293" s="15"/>
      <c r="M293" s="15"/>
      <c r="N293" s="15"/>
      <c r="O293" s="15"/>
      <c r="P293" s="15"/>
      <c r="Q293" s="11"/>
      <c r="R293" s="11"/>
      <c r="S293" s="11"/>
      <c r="T293" s="11"/>
      <c r="U293" s="15"/>
      <c r="V293" s="11"/>
      <c r="W293" s="11"/>
      <c r="X293" s="11"/>
      <c r="Y293" s="11"/>
      <c r="Z293" s="11"/>
    </row>
    <row r="294">
      <c r="A294" s="18"/>
      <c r="B294" s="11"/>
      <c r="C294" s="11"/>
      <c r="D294" s="11"/>
      <c r="E294" s="11"/>
      <c r="F294" s="11"/>
      <c r="G294" s="11"/>
      <c r="H294" s="11"/>
      <c r="I294" s="11"/>
      <c r="J294" s="11"/>
      <c r="K294" s="11"/>
      <c r="L294" s="15"/>
      <c r="M294" s="15"/>
      <c r="N294" s="15"/>
      <c r="O294" s="15"/>
      <c r="P294" s="15"/>
      <c r="Q294" s="11"/>
      <c r="R294" s="11"/>
      <c r="S294" s="11"/>
      <c r="T294" s="11"/>
      <c r="U294" s="15"/>
      <c r="V294" s="11"/>
      <c r="W294" s="11"/>
      <c r="X294" s="11"/>
      <c r="Y294" s="11"/>
      <c r="Z294" s="11"/>
    </row>
    <row r="295">
      <c r="A295" s="18"/>
      <c r="B295" s="11"/>
      <c r="C295" s="11"/>
      <c r="D295" s="11"/>
      <c r="E295" s="11"/>
      <c r="F295" s="11"/>
      <c r="G295" s="11"/>
      <c r="H295" s="11"/>
      <c r="I295" s="11"/>
      <c r="J295" s="11"/>
      <c r="K295" s="11"/>
      <c r="L295" s="15"/>
      <c r="M295" s="15"/>
      <c r="N295" s="15"/>
      <c r="O295" s="15"/>
      <c r="P295" s="15"/>
      <c r="Q295" s="11"/>
      <c r="R295" s="11"/>
      <c r="S295" s="11"/>
      <c r="T295" s="11"/>
      <c r="U295" s="15"/>
      <c r="V295" s="11"/>
      <c r="W295" s="11"/>
      <c r="X295" s="11"/>
      <c r="Y295" s="11"/>
      <c r="Z295" s="11"/>
    </row>
    <row r="296">
      <c r="A296" s="18"/>
      <c r="B296" s="11"/>
      <c r="C296" s="11"/>
      <c r="D296" s="11"/>
      <c r="E296" s="11"/>
      <c r="F296" s="11"/>
      <c r="G296" s="11"/>
      <c r="H296" s="11"/>
      <c r="I296" s="11"/>
      <c r="J296" s="11"/>
      <c r="K296" s="11"/>
      <c r="L296" s="15"/>
      <c r="M296" s="15"/>
      <c r="N296" s="15"/>
      <c r="O296" s="15"/>
      <c r="P296" s="15"/>
      <c r="Q296" s="11"/>
      <c r="R296" s="11"/>
      <c r="S296" s="11"/>
      <c r="T296" s="11"/>
      <c r="U296" s="15"/>
      <c r="V296" s="11"/>
      <c r="W296" s="11"/>
      <c r="X296" s="11"/>
      <c r="Y296" s="11"/>
      <c r="Z296" s="11"/>
    </row>
    <row r="297">
      <c r="A297" s="18"/>
      <c r="B297" s="11"/>
      <c r="C297" s="11"/>
      <c r="D297" s="11"/>
      <c r="E297" s="11"/>
      <c r="F297" s="11"/>
      <c r="G297" s="11"/>
      <c r="H297" s="11"/>
      <c r="I297" s="11"/>
      <c r="J297" s="11"/>
      <c r="K297" s="11"/>
      <c r="L297" s="15"/>
      <c r="M297" s="15"/>
      <c r="N297" s="15"/>
      <c r="O297" s="15"/>
      <c r="P297" s="15"/>
      <c r="Q297" s="11"/>
      <c r="R297" s="11"/>
      <c r="S297" s="11"/>
      <c r="T297" s="11"/>
      <c r="U297" s="15"/>
      <c r="V297" s="11"/>
      <c r="W297" s="11"/>
      <c r="X297" s="11"/>
      <c r="Y297" s="11"/>
      <c r="Z297" s="11"/>
    </row>
    <row r="298">
      <c r="A298" s="18"/>
      <c r="B298" s="11"/>
      <c r="C298" s="11"/>
      <c r="D298" s="11"/>
      <c r="E298" s="11"/>
      <c r="F298" s="11"/>
      <c r="G298" s="11"/>
      <c r="H298" s="11"/>
      <c r="I298" s="11"/>
      <c r="J298" s="11"/>
      <c r="K298" s="11"/>
      <c r="L298" s="15"/>
      <c r="M298" s="15"/>
      <c r="N298" s="15"/>
      <c r="O298" s="15"/>
      <c r="P298" s="15"/>
      <c r="Q298" s="11"/>
      <c r="R298" s="11"/>
      <c r="S298" s="11"/>
      <c r="T298" s="11"/>
      <c r="U298" s="15"/>
      <c r="V298" s="11"/>
      <c r="W298" s="11"/>
      <c r="X298" s="11"/>
      <c r="Y298" s="11"/>
      <c r="Z298" s="11"/>
    </row>
    <row r="299">
      <c r="A299" s="18"/>
      <c r="B299" s="11"/>
      <c r="C299" s="11"/>
      <c r="D299" s="11"/>
      <c r="E299" s="11"/>
      <c r="F299" s="11"/>
      <c r="G299" s="11"/>
      <c r="H299" s="11"/>
      <c r="I299" s="11"/>
      <c r="J299" s="11"/>
      <c r="K299" s="11"/>
      <c r="L299" s="15"/>
      <c r="M299" s="15"/>
      <c r="N299" s="15"/>
      <c r="O299" s="15"/>
      <c r="P299" s="15"/>
      <c r="Q299" s="11"/>
      <c r="R299" s="11"/>
      <c r="S299" s="11"/>
      <c r="T299" s="11"/>
      <c r="U299" s="15"/>
      <c r="V299" s="11"/>
      <c r="W299" s="11"/>
      <c r="X299" s="11"/>
      <c r="Y299" s="11"/>
      <c r="Z299" s="11"/>
    </row>
    <row r="300">
      <c r="A300" s="18"/>
      <c r="B300" s="11"/>
      <c r="C300" s="11"/>
      <c r="D300" s="11"/>
      <c r="E300" s="11"/>
      <c r="F300" s="11"/>
      <c r="G300" s="11"/>
      <c r="H300" s="11"/>
      <c r="I300" s="11"/>
      <c r="J300" s="11"/>
      <c r="K300" s="11"/>
      <c r="L300" s="15"/>
      <c r="M300" s="15"/>
      <c r="N300" s="15"/>
      <c r="O300" s="15"/>
      <c r="P300" s="15"/>
      <c r="Q300" s="11"/>
      <c r="R300" s="11"/>
      <c r="S300" s="11"/>
      <c r="T300" s="11"/>
      <c r="U300" s="15"/>
      <c r="V300" s="11"/>
      <c r="W300" s="11"/>
      <c r="X300" s="11"/>
      <c r="Y300" s="11"/>
      <c r="Z300" s="11"/>
    </row>
    <row r="301">
      <c r="A301" s="18"/>
      <c r="B301" s="11"/>
      <c r="C301" s="11"/>
      <c r="D301" s="11"/>
      <c r="E301" s="11"/>
      <c r="F301" s="11"/>
      <c r="G301" s="11"/>
      <c r="H301" s="11"/>
      <c r="I301" s="11"/>
      <c r="J301" s="11"/>
      <c r="K301" s="11"/>
      <c r="L301" s="15"/>
      <c r="M301" s="15"/>
      <c r="N301" s="15"/>
      <c r="O301" s="15"/>
      <c r="P301" s="15"/>
      <c r="Q301" s="11"/>
      <c r="R301" s="11"/>
      <c r="S301" s="11"/>
      <c r="T301" s="11"/>
      <c r="U301" s="15"/>
      <c r="V301" s="11"/>
      <c r="W301" s="11"/>
      <c r="X301" s="11"/>
      <c r="Y301" s="11"/>
      <c r="Z301" s="11"/>
    </row>
    <row r="302">
      <c r="A302" s="18"/>
      <c r="B302" s="11"/>
      <c r="C302" s="11"/>
      <c r="D302" s="11"/>
      <c r="E302" s="11"/>
      <c r="F302" s="11"/>
      <c r="G302" s="11"/>
      <c r="H302" s="11"/>
      <c r="I302" s="11"/>
      <c r="J302" s="11"/>
      <c r="K302" s="11"/>
      <c r="L302" s="15"/>
      <c r="M302" s="15"/>
      <c r="N302" s="15"/>
      <c r="O302" s="15"/>
      <c r="P302" s="15"/>
      <c r="Q302" s="11"/>
      <c r="R302" s="11"/>
      <c r="S302" s="11"/>
      <c r="T302" s="11"/>
      <c r="U302" s="15"/>
      <c r="V302" s="11"/>
      <c r="W302" s="11"/>
      <c r="X302" s="11"/>
      <c r="Y302" s="11"/>
      <c r="Z302" s="11"/>
    </row>
    <row r="303">
      <c r="A303" s="18"/>
      <c r="B303" s="11"/>
      <c r="C303" s="11"/>
      <c r="D303" s="11"/>
      <c r="E303" s="11"/>
      <c r="F303" s="11"/>
      <c r="G303" s="11"/>
      <c r="H303" s="11"/>
      <c r="I303" s="11"/>
      <c r="J303" s="11"/>
      <c r="K303" s="11"/>
      <c r="L303" s="15"/>
      <c r="M303" s="15"/>
      <c r="N303" s="15"/>
      <c r="O303" s="15"/>
      <c r="P303" s="15"/>
      <c r="Q303" s="11"/>
      <c r="R303" s="11"/>
      <c r="S303" s="11"/>
      <c r="T303" s="11"/>
      <c r="U303" s="15"/>
      <c r="V303" s="11"/>
      <c r="W303" s="11"/>
      <c r="X303" s="11"/>
      <c r="Y303" s="11"/>
      <c r="Z303" s="11"/>
    </row>
    <row r="304">
      <c r="A304" s="18"/>
      <c r="B304" s="11"/>
      <c r="C304" s="11"/>
      <c r="D304" s="11"/>
      <c r="E304" s="11"/>
      <c r="F304" s="11"/>
      <c r="G304" s="11"/>
      <c r="H304" s="11"/>
      <c r="I304" s="11"/>
      <c r="J304" s="11"/>
      <c r="K304" s="11"/>
      <c r="L304" s="15"/>
      <c r="M304" s="15"/>
      <c r="N304" s="15"/>
      <c r="O304" s="15"/>
      <c r="P304" s="15"/>
      <c r="Q304" s="11"/>
      <c r="R304" s="11"/>
      <c r="S304" s="11"/>
      <c r="T304" s="11"/>
      <c r="U304" s="15"/>
      <c r="V304" s="11"/>
      <c r="W304" s="11"/>
      <c r="X304" s="11"/>
      <c r="Y304" s="11"/>
      <c r="Z304" s="11"/>
    </row>
    <row r="305">
      <c r="A305" s="18"/>
      <c r="B305" s="11"/>
      <c r="C305" s="11"/>
      <c r="D305" s="11"/>
      <c r="E305" s="11"/>
      <c r="F305" s="11"/>
      <c r="G305" s="11"/>
      <c r="H305" s="11"/>
      <c r="I305" s="11"/>
      <c r="J305" s="11"/>
      <c r="K305" s="11"/>
      <c r="L305" s="15"/>
      <c r="M305" s="15"/>
      <c r="N305" s="15"/>
      <c r="O305" s="15"/>
      <c r="P305" s="15"/>
      <c r="Q305" s="11"/>
      <c r="R305" s="11"/>
      <c r="S305" s="11"/>
      <c r="T305" s="11"/>
      <c r="U305" s="15"/>
      <c r="V305" s="11"/>
      <c r="W305" s="11"/>
      <c r="X305" s="11"/>
      <c r="Y305" s="11"/>
      <c r="Z305" s="11"/>
    </row>
    <row r="306">
      <c r="A306" s="18"/>
      <c r="B306" s="11"/>
      <c r="C306" s="11"/>
      <c r="D306" s="11"/>
      <c r="E306" s="11"/>
      <c r="F306" s="11"/>
      <c r="G306" s="11"/>
      <c r="H306" s="11"/>
      <c r="I306" s="11"/>
      <c r="J306" s="11"/>
      <c r="K306" s="11"/>
      <c r="L306" s="15"/>
      <c r="M306" s="15"/>
      <c r="N306" s="15"/>
      <c r="O306" s="15"/>
      <c r="P306" s="15"/>
      <c r="Q306" s="11"/>
      <c r="R306" s="11"/>
      <c r="S306" s="11"/>
      <c r="T306" s="11"/>
      <c r="U306" s="15"/>
      <c r="V306" s="11"/>
      <c r="W306" s="11"/>
      <c r="X306" s="11"/>
      <c r="Y306" s="11"/>
      <c r="Z306" s="11"/>
    </row>
    <row r="307">
      <c r="A307" s="18"/>
      <c r="B307" s="11"/>
      <c r="C307" s="11"/>
      <c r="D307" s="11"/>
      <c r="E307" s="11"/>
      <c r="F307" s="11"/>
      <c r="G307" s="11"/>
      <c r="H307" s="11"/>
      <c r="I307" s="11"/>
      <c r="J307" s="11"/>
      <c r="K307" s="11"/>
      <c r="L307" s="15"/>
      <c r="M307" s="15"/>
      <c r="N307" s="15"/>
      <c r="O307" s="15"/>
      <c r="P307" s="15"/>
      <c r="Q307" s="11"/>
      <c r="R307" s="11"/>
      <c r="S307" s="11"/>
      <c r="T307" s="11"/>
      <c r="U307" s="15"/>
      <c r="V307" s="11"/>
      <c r="W307" s="11"/>
      <c r="X307" s="11"/>
      <c r="Y307" s="11"/>
      <c r="Z307" s="11"/>
    </row>
    <row r="308">
      <c r="A308" s="18"/>
      <c r="B308" s="11"/>
      <c r="C308" s="11"/>
      <c r="D308" s="11"/>
      <c r="E308" s="11"/>
      <c r="F308" s="11"/>
      <c r="G308" s="11"/>
      <c r="H308" s="11"/>
      <c r="I308" s="11"/>
      <c r="J308" s="11"/>
      <c r="K308" s="11"/>
      <c r="L308" s="15"/>
      <c r="M308" s="15"/>
      <c r="N308" s="15"/>
      <c r="O308" s="15"/>
      <c r="P308" s="15"/>
      <c r="Q308" s="11"/>
      <c r="R308" s="11"/>
      <c r="S308" s="11"/>
      <c r="T308" s="11"/>
      <c r="U308" s="15"/>
      <c r="V308" s="11"/>
      <c r="W308" s="11"/>
      <c r="X308" s="11"/>
      <c r="Y308" s="11"/>
      <c r="Z308" s="11"/>
    </row>
    <row r="309">
      <c r="A309" s="18"/>
      <c r="B309" s="11"/>
      <c r="C309" s="11"/>
      <c r="D309" s="11"/>
      <c r="E309" s="11"/>
      <c r="F309" s="11"/>
      <c r="G309" s="11"/>
      <c r="H309" s="11"/>
      <c r="I309" s="11"/>
      <c r="J309" s="11"/>
      <c r="K309" s="11"/>
      <c r="L309" s="15"/>
      <c r="M309" s="15"/>
      <c r="N309" s="15"/>
      <c r="O309" s="15"/>
      <c r="P309" s="15"/>
      <c r="Q309" s="11"/>
      <c r="R309" s="11"/>
      <c r="S309" s="11"/>
      <c r="T309" s="11"/>
      <c r="U309" s="15"/>
      <c r="V309" s="11"/>
      <c r="W309" s="11"/>
      <c r="X309" s="11"/>
      <c r="Y309" s="11"/>
      <c r="Z309" s="11"/>
    </row>
    <row r="310">
      <c r="A310" s="18"/>
      <c r="B310" s="11"/>
      <c r="C310" s="11"/>
      <c r="D310" s="11"/>
      <c r="E310" s="11"/>
      <c r="F310" s="11"/>
      <c r="G310" s="11"/>
      <c r="H310" s="11"/>
      <c r="I310" s="11"/>
      <c r="J310" s="11"/>
      <c r="K310" s="11"/>
      <c r="L310" s="15"/>
      <c r="M310" s="15"/>
      <c r="N310" s="15"/>
      <c r="O310" s="15"/>
      <c r="P310" s="15"/>
      <c r="Q310" s="11"/>
      <c r="R310" s="11"/>
      <c r="S310" s="11"/>
      <c r="T310" s="11"/>
      <c r="U310" s="15"/>
      <c r="V310" s="11"/>
      <c r="W310" s="11"/>
      <c r="X310" s="11"/>
      <c r="Y310" s="11"/>
      <c r="Z310" s="11"/>
    </row>
    <row r="311">
      <c r="A311" s="18"/>
      <c r="B311" s="11"/>
      <c r="C311" s="11"/>
      <c r="D311" s="11"/>
      <c r="E311" s="11"/>
      <c r="F311" s="11"/>
      <c r="G311" s="11"/>
      <c r="H311" s="11"/>
      <c r="I311" s="11"/>
      <c r="J311" s="11"/>
      <c r="K311" s="11"/>
      <c r="L311" s="15"/>
      <c r="M311" s="15"/>
      <c r="N311" s="15"/>
      <c r="O311" s="15"/>
      <c r="P311" s="15"/>
      <c r="Q311" s="11"/>
      <c r="R311" s="11"/>
      <c r="S311" s="11"/>
      <c r="T311" s="11"/>
      <c r="U311" s="15"/>
      <c r="V311" s="11"/>
      <c r="W311" s="11"/>
      <c r="X311" s="11"/>
      <c r="Y311" s="11"/>
      <c r="Z311" s="11"/>
    </row>
    <row r="312">
      <c r="A312" s="18"/>
      <c r="B312" s="11"/>
      <c r="C312" s="11"/>
      <c r="D312" s="11"/>
      <c r="E312" s="11"/>
      <c r="F312" s="11"/>
      <c r="G312" s="11"/>
      <c r="H312" s="11"/>
      <c r="I312" s="11"/>
      <c r="J312" s="11"/>
      <c r="K312" s="11"/>
      <c r="L312" s="15"/>
      <c r="M312" s="15"/>
      <c r="N312" s="15"/>
      <c r="O312" s="15"/>
      <c r="P312" s="15"/>
      <c r="Q312" s="11"/>
      <c r="R312" s="11"/>
      <c r="S312" s="11"/>
      <c r="T312" s="11"/>
      <c r="U312" s="15"/>
      <c r="V312" s="11"/>
      <c r="W312" s="11"/>
      <c r="X312" s="11"/>
      <c r="Y312" s="11"/>
      <c r="Z312" s="11"/>
    </row>
    <row r="313">
      <c r="A313" s="18"/>
      <c r="B313" s="11"/>
      <c r="C313" s="11"/>
      <c r="D313" s="11"/>
      <c r="E313" s="11"/>
      <c r="F313" s="11"/>
      <c r="G313" s="11"/>
      <c r="H313" s="11"/>
      <c r="I313" s="11"/>
      <c r="J313" s="11"/>
      <c r="K313" s="11"/>
      <c r="L313" s="15"/>
      <c r="M313" s="15"/>
      <c r="N313" s="15"/>
      <c r="O313" s="15"/>
      <c r="P313" s="15"/>
      <c r="Q313" s="11"/>
      <c r="R313" s="11"/>
      <c r="S313" s="11"/>
      <c r="T313" s="11"/>
      <c r="U313" s="15"/>
      <c r="V313" s="11"/>
      <c r="W313" s="11"/>
      <c r="X313" s="11"/>
      <c r="Y313" s="11"/>
      <c r="Z313" s="11"/>
    </row>
    <row r="314">
      <c r="A314" s="18"/>
      <c r="B314" s="11"/>
      <c r="C314" s="11"/>
      <c r="D314" s="11"/>
      <c r="E314" s="11"/>
      <c r="F314" s="11"/>
      <c r="G314" s="11"/>
      <c r="H314" s="11"/>
      <c r="I314" s="11"/>
      <c r="J314" s="11"/>
      <c r="K314" s="11"/>
      <c r="L314" s="15"/>
      <c r="M314" s="15"/>
      <c r="N314" s="15"/>
      <c r="O314" s="15"/>
      <c r="P314" s="15"/>
      <c r="Q314" s="11"/>
      <c r="R314" s="11"/>
      <c r="S314" s="11"/>
      <c r="T314" s="11"/>
      <c r="U314" s="15"/>
      <c r="V314" s="11"/>
      <c r="W314" s="11"/>
      <c r="X314" s="11"/>
      <c r="Y314" s="11"/>
      <c r="Z314" s="11"/>
    </row>
    <row r="315">
      <c r="A315" s="18"/>
      <c r="B315" s="11"/>
      <c r="C315" s="11"/>
      <c r="D315" s="11"/>
      <c r="E315" s="11"/>
      <c r="F315" s="11"/>
      <c r="G315" s="11"/>
      <c r="H315" s="11"/>
      <c r="I315" s="11"/>
      <c r="J315" s="11"/>
      <c r="K315" s="11"/>
      <c r="L315" s="15"/>
      <c r="M315" s="15"/>
      <c r="N315" s="15"/>
      <c r="O315" s="15"/>
      <c r="P315" s="15"/>
      <c r="Q315" s="11"/>
      <c r="R315" s="11"/>
      <c r="S315" s="11"/>
      <c r="T315" s="11"/>
      <c r="U315" s="15"/>
      <c r="V315" s="11"/>
      <c r="W315" s="11"/>
      <c r="X315" s="11"/>
      <c r="Y315" s="11"/>
      <c r="Z315" s="11"/>
    </row>
    <row r="316">
      <c r="A316" s="18"/>
      <c r="B316" s="11"/>
      <c r="C316" s="11"/>
      <c r="D316" s="11"/>
      <c r="E316" s="11"/>
      <c r="F316" s="11"/>
      <c r="G316" s="11"/>
      <c r="H316" s="11"/>
      <c r="I316" s="11"/>
      <c r="J316" s="11"/>
      <c r="K316" s="11"/>
      <c r="L316" s="15"/>
      <c r="M316" s="15"/>
      <c r="N316" s="15"/>
      <c r="O316" s="15"/>
      <c r="P316" s="15"/>
      <c r="Q316" s="11"/>
      <c r="R316" s="11"/>
      <c r="S316" s="11"/>
      <c r="T316" s="11"/>
      <c r="U316" s="15"/>
      <c r="V316" s="11"/>
      <c r="W316" s="11"/>
      <c r="X316" s="11"/>
      <c r="Y316" s="11"/>
      <c r="Z316" s="11"/>
    </row>
    <row r="317">
      <c r="A317" s="18"/>
      <c r="B317" s="11"/>
      <c r="C317" s="11"/>
      <c r="D317" s="11"/>
      <c r="E317" s="11"/>
      <c r="F317" s="11"/>
      <c r="G317" s="11"/>
      <c r="H317" s="11"/>
      <c r="I317" s="11"/>
      <c r="J317" s="11"/>
      <c r="K317" s="11"/>
      <c r="L317" s="15"/>
      <c r="M317" s="15"/>
      <c r="N317" s="15"/>
      <c r="O317" s="15"/>
      <c r="P317" s="15"/>
      <c r="Q317" s="11"/>
      <c r="R317" s="11"/>
      <c r="S317" s="11"/>
      <c r="T317" s="11"/>
      <c r="U317" s="15"/>
      <c r="V317" s="11"/>
      <c r="W317" s="11"/>
      <c r="X317" s="11"/>
      <c r="Y317" s="11"/>
      <c r="Z317" s="11"/>
    </row>
    <row r="318">
      <c r="A318" s="18"/>
      <c r="B318" s="11"/>
      <c r="C318" s="11"/>
      <c r="D318" s="11"/>
      <c r="E318" s="11"/>
      <c r="F318" s="11"/>
      <c r="G318" s="11"/>
      <c r="H318" s="11"/>
      <c r="I318" s="11"/>
      <c r="J318" s="11"/>
      <c r="K318" s="11"/>
      <c r="L318" s="15"/>
      <c r="M318" s="15"/>
      <c r="N318" s="15"/>
      <c r="O318" s="15"/>
      <c r="P318" s="15"/>
      <c r="Q318" s="11"/>
      <c r="R318" s="11"/>
      <c r="S318" s="11"/>
      <c r="T318" s="11"/>
      <c r="U318" s="15"/>
      <c r="V318" s="11"/>
      <c r="W318" s="11"/>
      <c r="X318" s="11"/>
      <c r="Y318" s="11"/>
      <c r="Z318" s="11"/>
    </row>
    <row r="319">
      <c r="A319" s="18"/>
      <c r="B319" s="11"/>
      <c r="C319" s="11"/>
      <c r="D319" s="11"/>
      <c r="E319" s="11"/>
      <c r="F319" s="11"/>
      <c r="G319" s="11"/>
      <c r="H319" s="11"/>
      <c r="I319" s="11"/>
      <c r="J319" s="11"/>
      <c r="K319" s="11"/>
      <c r="L319" s="15"/>
      <c r="M319" s="15"/>
      <c r="N319" s="15"/>
      <c r="O319" s="15"/>
      <c r="P319" s="15"/>
      <c r="Q319" s="11"/>
      <c r="R319" s="11"/>
      <c r="S319" s="11"/>
      <c r="T319" s="11"/>
      <c r="U319" s="15"/>
      <c r="V319" s="11"/>
      <c r="W319" s="11"/>
      <c r="X319" s="11"/>
      <c r="Y319" s="11"/>
      <c r="Z319" s="11"/>
    </row>
    <row r="320">
      <c r="A320" s="18"/>
      <c r="B320" s="11"/>
      <c r="C320" s="11"/>
      <c r="D320" s="11"/>
      <c r="E320" s="11"/>
      <c r="F320" s="11"/>
      <c r="G320" s="11"/>
      <c r="H320" s="11"/>
      <c r="I320" s="11"/>
      <c r="J320" s="11"/>
      <c r="K320" s="11"/>
      <c r="L320" s="15"/>
      <c r="M320" s="15"/>
      <c r="N320" s="15"/>
      <c r="O320" s="15"/>
      <c r="P320" s="15"/>
      <c r="Q320" s="11"/>
      <c r="R320" s="11"/>
      <c r="S320" s="11"/>
      <c r="T320" s="11"/>
      <c r="U320" s="15"/>
      <c r="V320" s="11"/>
      <c r="W320" s="11"/>
      <c r="X320" s="11"/>
      <c r="Y320" s="11"/>
      <c r="Z320" s="11"/>
    </row>
    <row r="321">
      <c r="A321" s="18"/>
      <c r="B321" s="11"/>
      <c r="C321" s="11"/>
      <c r="D321" s="11"/>
      <c r="E321" s="11"/>
      <c r="F321" s="11"/>
      <c r="G321" s="11"/>
      <c r="H321" s="11"/>
      <c r="I321" s="11"/>
      <c r="J321" s="11"/>
      <c r="K321" s="11"/>
      <c r="L321" s="15"/>
      <c r="M321" s="15"/>
      <c r="N321" s="15"/>
      <c r="O321" s="15"/>
      <c r="P321" s="15"/>
      <c r="Q321" s="11"/>
      <c r="R321" s="11"/>
      <c r="S321" s="11"/>
      <c r="T321" s="11"/>
      <c r="U321" s="15"/>
      <c r="V321" s="11"/>
      <c r="W321" s="11"/>
      <c r="X321" s="11"/>
      <c r="Y321" s="11"/>
      <c r="Z321" s="11"/>
    </row>
    <row r="322">
      <c r="A322" s="18"/>
      <c r="B322" s="11"/>
      <c r="C322" s="11"/>
      <c r="D322" s="11"/>
      <c r="E322" s="11"/>
      <c r="F322" s="11"/>
      <c r="G322" s="11"/>
      <c r="H322" s="11"/>
      <c r="I322" s="11"/>
      <c r="J322" s="11"/>
      <c r="K322" s="11"/>
      <c r="L322" s="15"/>
      <c r="M322" s="15"/>
      <c r="N322" s="15"/>
      <c r="O322" s="15"/>
      <c r="P322" s="15"/>
      <c r="Q322" s="11"/>
      <c r="R322" s="11"/>
      <c r="S322" s="11"/>
      <c r="T322" s="11"/>
      <c r="U322" s="15"/>
      <c r="V322" s="11"/>
      <c r="W322" s="11"/>
      <c r="X322" s="11"/>
      <c r="Y322" s="11"/>
      <c r="Z322" s="11"/>
    </row>
    <row r="323">
      <c r="A323" s="18"/>
      <c r="B323" s="11"/>
      <c r="C323" s="11"/>
      <c r="D323" s="11"/>
      <c r="E323" s="11"/>
      <c r="F323" s="11"/>
      <c r="G323" s="11"/>
      <c r="H323" s="11"/>
      <c r="I323" s="11"/>
      <c r="J323" s="11"/>
      <c r="K323" s="11"/>
      <c r="L323" s="15"/>
      <c r="M323" s="15"/>
      <c r="N323" s="15"/>
      <c r="O323" s="15"/>
      <c r="P323" s="15"/>
      <c r="Q323" s="11"/>
      <c r="R323" s="11"/>
      <c r="S323" s="11"/>
      <c r="T323" s="11"/>
      <c r="U323" s="15"/>
      <c r="V323" s="11"/>
      <c r="W323" s="11"/>
      <c r="X323" s="11"/>
      <c r="Y323" s="11"/>
      <c r="Z323" s="11"/>
    </row>
    <row r="324">
      <c r="A324" s="18"/>
      <c r="B324" s="11"/>
      <c r="C324" s="11"/>
      <c r="D324" s="11"/>
      <c r="E324" s="11"/>
      <c r="F324" s="11"/>
      <c r="G324" s="11"/>
      <c r="H324" s="11"/>
      <c r="I324" s="11"/>
      <c r="J324" s="11"/>
      <c r="K324" s="11"/>
      <c r="L324" s="15"/>
      <c r="M324" s="15"/>
      <c r="N324" s="15"/>
      <c r="O324" s="15"/>
      <c r="P324" s="15"/>
      <c r="Q324" s="11"/>
      <c r="R324" s="11"/>
      <c r="S324" s="11"/>
      <c r="T324" s="11"/>
      <c r="U324" s="15"/>
      <c r="V324" s="11"/>
      <c r="W324" s="11"/>
      <c r="X324" s="11"/>
      <c r="Y324" s="11"/>
      <c r="Z324" s="11"/>
    </row>
    <row r="325">
      <c r="A325" s="18"/>
      <c r="B325" s="11"/>
      <c r="C325" s="11"/>
      <c r="D325" s="11"/>
      <c r="E325" s="11"/>
      <c r="F325" s="11"/>
      <c r="G325" s="11"/>
      <c r="H325" s="11"/>
      <c r="I325" s="11"/>
      <c r="J325" s="11"/>
      <c r="K325" s="11"/>
      <c r="L325" s="15"/>
      <c r="M325" s="15"/>
      <c r="N325" s="15"/>
      <c r="O325" s="15"/>
      <c r="P325" s="15"/>
      <c r="Q325" s="11"/>
      <c r="R325" s="11"/>
      <c r="S325" s="11"/>
      <c r="T325" s="11"/>
      <c r="U325" s="15"/>
      <c r="V325" s="11"/>
      <c r="W325" s="11"/>
      <c r="X325" s="11"/>
      <c r="Y325" s="11"/>
      <c r="Z325" s="11"/>
    </row>
    <row r="326">
      <c r="A326" s="18"/>
      <c r="B326" s="11"/>
      <c r="C326" s="11"/>
      <c r="D326" s="11"/>
      <c r="E326" s="11"/>
      <c r="F326" s="11"/>
      <c r="G326" s="11"/>
      <c r="H326" s="11"/>
      <c r="I326" s="11"/>
      <c r="J326" s="11"/>
      <c r="K326" s="11"/>
      <c r="L326" s="15"/>
      <c r="M326" s="15"/>
      <c r="N326" s="15"/>
      <c r="O326" s="15"/>
      <c r="P326" s="15"/>
      <c r="Q326" s="11"/>
      <c r="R326" s="11"/>
      <c r="S326" s="11"/>
      <c r="T326" s="11"/>
      <c r="U326" s="15"/>
      <c r="V326" s="11"/>
      <c r="W326" s="11"/>
      <c r="X326" s="11"/>
      <c r="Y326" s="11"/>
      <c r="Z326" s="11"/>
    </row>
    <row r="327">
      <c r="A327" s="18"/>
      <c r="B327" s="11"/>
      <c r="C327" s="11"/>
      <c r="D327" s="11"/>
      <c r="E327" s="11"/>
      <c r="F327" s="11"/>
      <c r="G327" s="11"/>
      <c r="H327" s="11"/>
      <c r="I327" s="11"/>
      <c r="J327" s="11"/>
      <c r="K327" s="11"/>
      <c r="L327" s="15"/>
      <c r="M327" s="15"/>
      <c r="N327" s="15"/>
      <c r="O327" s="15"/>
      <c r="P327" s="15"/>
      <c r="Q327" s="11"/>
      <c r="R327" s="11"/>
      <c r="S327" s="11"/>
      <c r="T327" s="11"/>
      <c r="U327" s="15"/>
      <c r="V327" s="11"/>
      <c r="W327" s="11"/>
      <c r="X327" s="11"/>
      <c r="Y327" s="11"/>
      <c r="Z327" s="11"/>
    </row>
    <row r="328">
      <c r="A328" s="18"/>
      <c r="B328" s="11"/>
      <c r="C328" s="11"/>
      <c r="D328" s="11"/>
      <c r="E328" s="11"/>
      <c r="F328" s="11"/>
      <c r="G328" s="11"/>
      <c r="H328" s="11"/>
      <c r="I328" s="11"/>
      <c r="J328" s="11"/>
      <c r="K328" s="11"/>
      <c r="L328" s="15"/>
      <c r="M328" s="15"/>
      <c r="N328" s="15"/>
      <c r="O328" s="15"/>
      <c r="P328" s="15"/>
      <c r="Q328" s="11"/>
      <c r="R328" s="11"/>
      <c r="S328" s="11"/>
      <c r="T328" s="11"/>
      <c r="U328" s="15"/>
      <c r="V328" s="11"/>
      <c r="W328" s="11"/>
      <c r="X328" s="11"/>
      <c r="Y328" s="11"/>
      <c r="Z328" s="11"/>
    </row>
    <row r="329">
      <c r="A329" s="18"/>
      <c r="B329" s="11"/>
      <c r="C329" s="11"/>
      <c r="D329" s="11"/>
      <c r="E329" s="11"/>
      <c r="F329" s="11"/>
      <c r="G329" s="11"/>
      <c r="H329" s="11"/>
      <c r="I329" s="11"/>
      <c r="J329" s="11"/>
      <c r="K329" s="11"/>
      <c r="L329" s="15"/>
      <c r="M329" s="15"/>
      <c r="N329" s="15"/>
      <c r="O329" s="15"/>
      <c r="P329" s="15"/>
      <c r="Q329" s="11"/>
      <c r="R329" s="11"/>
      <c r="S329" s="11"/>
      <c r="T329" s="11"/>
      <c r="U329" s="15"/>
      <c r="V329" s="11"/>
      <c r="W329" s="11"/>
      <c r="X329" s="11"/>
      <c r="Y329" s="11"/>
      <c r="Z329" s="11"/>
    </row>
    <row r="330">
      <c r="A330" s="18"/>
      <c r="B330" s="11"/>
      <c r="C330" s="11"/>
      <c r="D330" s="11"/>
      <c r="E330" s="11"/>
      <c r="F330" s="11"/>
      <c r="G330" s="11"/>
      <c r="H330" s="11"/>
      <c r="I330" s="11"/>
      <c r="J330" s="11"/>
      <c r="K330" s="11"/>
      <c r="L330" s="15"/>
      <c r="M330" s="15"/>
      <c r="N330" s="15"/>
      <c r="O330" s="15"/>
      <c r="P330" s="15"/>
      <c r="Q330" s="11"/>
      <c r="R330" s="11"/>
      <c r="S330" s="11"/>
      <c r="T330" s="11"/>
      <c r="U330" s="15"/>
      <c r="V330" s="11"/>
      <c r="W330" s="11"/>
      <c r="X330" s="11"/>
      <c r="Y330" s="11"/>
      <c r="Z330" s="11"/>
    </row>
    <row r="331">
      <c r="A331" s="18"/>
      <c r="B331" s="11"/>
      <c r="C331" s="11"/>
      <c r="D331" s="11"/>
      <c r="E331" s="11"/>
      <c r="F331" s="11"/>
      <c r="G331" s="11"/>
      <c r="H331" s="11"/>
      <c r="I331" s="11"/>
      <c r="J331" s="11"/>
      <c r="K331" s="11"/>
      <c r="L331" s="15"/>
      <c r="M331" s="15"/>
      <c r="N331" s="15"/>
      <c r="O331" s="15"/>
      <c r="P331" s="15"/>
      <c r="Q331" s="11"/>
      <c r="R331" s="11"/>
      <c r="S331" s="11"/>
      <c r="T331" s="11"/>
      <c r="U331" s="15"/>
      <c r="V331" s="11"/>
      <c r="W331" s="11"/>
      <c r="X331" s="11"/>
      <c r="Y331" s="11"/>
      <c r="Z331" s="11"/>
    </row>
    <row r="332">
      <c r="A332" s="18"/>
      <c r="B332" s="11"/>
      <c r="C332" s="11"/>
      <c r="D332" s="11"/>
      <c r="E332" s="11"/>
      <c r="F332" s="11"/>
      <c r="G332" s="11"/>
      <c r="H332" s="11"/>
      <c r="I332" s="11"/>
      <c r="J332" s="11"/>
      <c r="K332" s="11"/>
      <c r="L332" s="15"/>
      <c r="M332" s="15"/>
      <c r="N332" s="15"/>
      <c r="O332" s="15"/>
      <c r="P332" s="15"/>
      <c r="Q332" s="11"/>
      <c r="R332" s="11"/>
      <c r="S332" s="11"/>
      <c r="T332" s="11"/>
      <c r="U332" s="15"/>
      <c r="V332" s="11"/>
      <c r="W332" s="11"/>
      <c r="X332" s="11"/>
      <c r="Y332" s="11"/>
      <c r="Z332" s="11"/>
    </row>
    <row r="333">
      <c r="A333" s="18"/>
      <c r="B333" s="11"/>
      <c r="C333" s="11"/>
      <c r="D333" s="11"/>
      <c r="E333" s="11"/>
      <c r="F333" s="11"/>
      <c r="G333" s="11"/>
      <c r="H333" s="11"/>
      <c r="I333" s="11"/>
      <c r="J333" s="11"/>
      <c r="K333" s="11"/>
      <c r="L333" s="15"/>
      <c r="M333" s="15"/>
      <c r="N333" s="15"/>
      <c r="O333" s="15"/>
      <c r="P333" s="15"/>
      <c r="Q333" s="11"/>
      <c r="R333" s="11"/>
      <c r="S333" s="11"/>
      <c r="T333" s="11"/>
      <c r="U333" s="15"/>
      <c r="V333" s="11"/>
      <c r="W333" s="11"/>
      <c r="X333" s="11"/>
      <c r="Y333" s="11"/>
      <c r="Z333" s="11"/>
    </row>
    <row r="334">
      <c r="A334" s="18"/>
      <c r="B334" s="11"/>
      <c r="C334" s="11"/>
      <c r="D334" s="11"/>
      <c r="E334" s="11"/>
      <c r="F334" s="11"/>
      <c r="G334" s="11"/>
      <c r="H334" s="11"/>
      <c r="I334" s="11"/>
      <c r="J334" s="11"/>
      <c r="K334" s="11"/>
      <c r="L334" s="15"/>
      <c r="M334" s="15"/>
      <c r="N334" s="15"/>
      <c r="O334" s="15"/>
      <c r="P334" s="15"/>
      <c r="Q334" s="11"/>
      <c r="R334" s="11"/>
      <c r="S334" s="11"/>
      <c r="T334" s="11"/>
      <c r="U334" s="15"/>
      <c r="V334" s="11"/>
      <c r="W334" s="11"/>
      <c r="X334" s="11"/>
      <c r="Y334" s="11"/>
      <c r="Z334" s="11"/>
    </row>
    <row r="335">
      <c r="A335" s="18"/>
      <c r="B335" s="11"/>
      <c r="C335" s="11"/>
      <c r="D335" s="11"/>
      <c r="E335" s="11"/>
      <c r="F335" s="11"/>
      <c r="G335" s="11"/>
      <c r="H335" s="11"/>
      <c r="I335" s="11"/>
      <c r="J335" s="11"/>
      <c r="K335" s="11"/>
      <c r="L335" s="15"/>
      <c r="M335" s="15"/>
      <c r="N335" s="15"/>
      <c r="O335" s="15"/>
      <c r="P335" s="15"/>
      <c r="Q335" s="11"/>
      <c r="R335" s="11"/>
      <c r="S335" s="11"/>
      <c r="T335" s="11"/>
      <c r="U335" s="15"/>
      <c r="V335" s="11"/>
      <c r="W335" s="11"/>
      <c r="X335" s="11"/>
      <c r="Y335" s="11"/>
      <c r="Z335" s="11"/>
    </row>
    <row r="336">
      <c r="A336" s="18"/>
      <c r="B336" s="11"/>
      <c r="C336" s="11"/>
      <c r="D336" s="11"/>
      <c r="E336" s="11"/>
      <c r="F336" s="11"/>
      <c r="G336" s="11"/>
      <c r="H336" s="11"/>
      <c r="I336" s="11"/>
      <c r="J336" s="11"/>
      <c r="K336" s="11"/>
      <c r="L336" s="15"/>
      <c r="M336" s="15"/>
      <c r="N336" s="15"/>
      <c r="O336" s="15"/>
      <c r="P336" s="15"/>
      <c r="Q336" s="11"/>
      <c r="R336" s="11"/>
      <c r="S336" s="11"/>
      <c r="T336" s="11"/>
      <c r="U336" s="15"/>
      <c r="V336" s="11"/>
      <c r="W336" s="11"/>
      <c r="X336" s="11"/>
      <c r="Y336" s="11"/>
      <c r="Z336" s="11"/>
    </row>
    <row r="337">
      <c r="A337" s="18"/>
      <c r="B337" s="11"/>
      <c r="C337" s="11"/>
      <c r="D337" s="11"/>
      <c r="E337" s="11"/>
      <c r="F337" s="11"/>
      <c r="G337" s="11"/>
      <c r="H337" s="11"/>
      <c r="I337" s="11"/>
      <c r="J337" s="11"/>
      <c r="K337" s="11"/>
      <c r="L337" s="15"/>
      <c r="M337" s="15"/>
      <c r="N337" s="15"/>
      <c r="O337" s="15"/>
      <c r="P337" s="15"/>
      <c r="Q337" s="11"/>
      <c r="R337" s="11"/>
      <c r="S337" s="11"/>
      <c r="T337" s="11"/>
      <c r="U337" s="15"/>
      <c r="V337" s="11"/>
      <c r="W337" s="11"/>
      <c r="X337" s="11"/>
      <c r="Y337" s="11"/>
      <c r="Z337" s="11"/>
    </row>
    <row r="338">
      <c r="A338" s="18"/>
      <c r="B338" s="11"/>
      <c r="C338" s="11"/>
      <c r="D338" s="11"/>
      <c r="E338" s="11"/>
      <c r="F338" s="11"/>
      <c r="G338" s="11"/>
      <c r="H338" s="11"/>
      <c r="I338" s="11"/>
      <c r="J338" s="11"/>
      <c r="K338" s="11"/>
      <c r="L338" s="15"/>
      <c r="M338" s="15"/>
      <c r="N338" s="15"/>
      <c r="O338" s="15"/>
      <c r="P338" s="15"/>
      <c r="Q338" s="11"/>
      <c r="R338" s="11"/>
      <c r="S338" s="11"/>
      <c r="T338" s="11"/>
      <c r="U338" s="15"/>
      <c r="V338" s="11"/>
      <c r="W338" s="11"/>
      <c r="X338" s="11"/>
      <c r="Y338" s="11"/>
      <c r="Z338" s="11"/>
    </row>
    <row r="339">
      <c r="A339" s="18"/>
      <c r="B339" s="11"/>
      <c r="C339" s="11"/>
      <c r="D339" s="11"/>
      <c r="E339" s="11"/>
      <c r="F339" s="11"/>
      <c r="G339" s="11"/>
      <c r="H339" s="11"/>
      <c r="I339" s="11"/>
      <c r="J339" s="11"/>
      <c r="K339" s="11"/>
      <c r="L339" s="15"/>
      <c r="M339" s="15"/>
      <c r="N339" s="15"/>
      <c r="O339" s="15"/>
      <c r="P339" s="15"/>
      <c r="Q339" s="11"/>
      <c r="R339" s="11"/>
      <c r="S339" s="11"/>
      <c r="T339" s="11"/>
      <c r="U339" s="15"/>
      <c r="V339" s="11"/>
      <c r="W339" s="11"/>
      <c r="X339" s="11"/>
      <c r="Y339" s="11"/>
      <c r="Z339" s="11"/>
    </row>
    <row r="340">
      <c r="A340" s="18"/>
      <c r="B340" s="11"/>
      <c r="C340" s="11"/>
      <c r="D340" s="11"/>
      <c r="E340" s="11"/>
      <c r="F340" s="11"/>
      <c r="G340" s="11"/>
      <c r="H340" s="11"/>
      <c r="I340" s="11"/>
      <c r="J340" s="11"/>
      <c r="K340" s="11"/>
      <c r="L340" s="15"/>
      <c r="M340" s="15"/>
      <c r="N340" s="15"/>
      <c r="O340" s="15"/>
      <c r="P340" s="15"/>
      <c r="Q340" s="11"/>
      <c r="R340" s="11"/>
      <c r="S340" s="11"/>
      <c r="T340" s="11"/>
      <c r="U340" s="15"/>
      <c r="V340" s="11"/>
      <c r="W340" s="11"/>
      <c r="X340" s="11"/>
      <c r="Y340" s="11"/>
      <c r="Z340" s="11"/>
    </row>
    <row r="341">
      <c r="A341" s="18"/>
      <c r="B341" s="11"/>
      <c r="C341" s="11"/>
      <c r="D341" s="11"/>
      <c r="E341" s="11"/>
      <c r="F341" s="11"/>
      <c r="G341" s="11"/>
      <c r="H341" s="11"/>
      <c r="I341" s="11"/>
      <c r="J341" s="11"/>
      <c r="K341" s="11"/>
      <c r="L341" s="15"/>
      <c r="M341" s="15"/>
      <c r="N341" s="15"/>
      <c r="O341" s="15"/>
      <c r="P341" s="15"/>
      <c r="Q341" s="11"/>
      <c r="R341" s="11"/>
      <c r="S341" s="11"/>
      <c r="T341" s="11"/>
      <c r="U341" s="15"/>
      <c r="V341" s="11"/>
      <c r="W341" s="11"/>
      <c r="X341" s="11"/>
      <c r="Y341" s="11"/>
      <c r="Z341" s="11"/>
    </row>
    <row r="342">
      <c r="A342" s="18"/>
      <c r="B342" s="11"/>
      <c r="C342" s="11"/>
      <c r="D342" s="11"/>
      <c r="E342" s="11"/>
      <c r="F342" s="11"/>
      <c r="G342" s="11"/>
      <c r="H342" s="11"/>
      <c r="I342" s="11"/>
      <c r="J342" s="11"/>
      <c r="K342" s="11"/>
      <c r="L342" s="15"/>
      <c r="M342" s="15"/>
      <c r="N342" s="15"/>
      <c r="O342" s="15"/>
      <c r="P342" s="15"/>
      <c r="Q342" s="11"/>
      <c r="R342" s="11"/>
      <c r="S342" s="11"/>
      <c r="T342" s="11"/>
      <c r="U342" s="15"/>
      <c r="V342" s="11"/>
      <c r="W342" s="11"/>
      <c r="X342" s="11"/>
      <c r="Y342" s="11"/>
      <c r="Z342" s="11"/>
    </row>
    <row r="343">
      <c r="A343" s="18"/>
      <c r="B343" s="11"/>
      <c r="C343" s="11"/>
      <c r="D343" s="11"/>
      <c r="E343" s="11"/>
      <c r="F343" s="11"/>
      <c r="G343" s="11"/>
      <c r="H343" s="11"/>
      <c r="I343" s="11"/>
      <c r="J343" s="11"/>
      <c r="K343" s="11"/>
      <c r="L343" s="15"/>
      <c r="M343" s="15"/>
      <c r="N343" s="15"/>
      <c r="O343" s="15"/>
      <c r="P343" s="15"/>
      <c r="Q343" s="11"/>
      <c r="R343" s="11"/>
      <c r="S343" s="11"/>
      <c r="T343" s="11"/>
      <c r="U343" s="15"/>
      <c r="V343" s="11"/>
      <c r="W343" s="11"/>
      <c r="X343" s="11"/>
      <c r="Y343" s="11"/>
      <c r="Z343" s="11"/>
    </row>
    <row r="344">
      <c r="A344" s="18"/>
      <c r="B344" s="11"/>
      <c r="C344" s="11"/>
      <c r="D344" s="11"/>
      <c r="E344" s="11"/>
      <c r="F344" s="11"/>
      <c r="G344" s="11"/>
      <c r="H344" s="11"/>
      <c r="I344" s="11"/>
      <c r="J344" s="11"/>
      <c r="K344" s="11"/>
      <c r="L344" s="15"/>
      <c r="M344" s="15"/>
      <c r="N344" s="15"/>
      <c r="O344" s="15"/>
      <c r="P344" s="15"/>
      <c r="Q344" s="11"/>
      <c r="R344" s="11"/>
      <c r="S344" s="11"/>
      <c r="T344" s="11"/>
      <c r="U344" s="15"/>
      <c r="V344" s="11"/>
      <c r="W344" s="11"/>
      <c r="X344" s="11"/>
      <c r="Y344" s="11"/>
      <c r="Z344" s="11"/>
    </row>
    <row r="345">
      <c r="A345" s="18"/>
      <c r="B345" s="11"/>
      <c r="C345" s="11"/>
      <c r="D345" s="11"/>
      <c r="E345" s="11"/>
      <c r="F345" s="11"/>
      <c r="G345" s="11"/>
      <c r="H345" s="11"/>
      <c r="I345" s="11"/>
      <c r="J345" s="11"/>
      <c r="K345" s="11"/>
      <c r="L345" s="15"/>
      <c r="M345" s="15"/>
      <c r="N345" s="15"/>
      <c r="O345" s="15"/>
      <c r="P345" s="15"/>
      <c r="Q345" s="11"/>
      <c r="R345" s="11"/>
      <c r="S345" s="11"/>
      <c r="T345" s="11"/>
      <c r="U345" s="15"/>
      <c r="V345" s="11"/>
      <c r="W345" s="11"/>
      <c r="X345" s="11"/>
      <c r="Y345" s="11"/>
      <c r="Z345" s="11"/>
    </row>
    <row r="346">
      <c r="A346" s="18"/>
      <c r="B346" s="11"/>
      <c r="C346" s="11"/>
      <c r="D346" s="11"/>
      <c r="E346" s="11"/>
      <c r="F346" s="11"/>
      <c r="G346" s="11"/>
      <c r="H346" s="11"/>
      <c r="I346" s="11"/>
      <c r="J346" s="11"/>
      <c r="K346" s="11"/>
      <c r="L346" s="15"/>
      <c r="M346" s="15"/>
      <c r="N346" s="15"/>
      <c r="O346" s="15"/>
      <c r="P346" s="15"/>
      <c r="Q346" s="11"/>
      <c r="R346" s="11"/>
      <c r="S346" s="11"/>
      <c r="T346" s="11"/>
      <c r="U346" s="15"/>
      <c r="V346" s="11"/>
      <c r="W346" s="11"/>
      <c r="X346" s="11"/>
      <c r="Y346" s="11"/>
      <c r="Z346" s="11"/>
    </row>
    <row r="347">
      <c r="A347" s="18"/>
      <c r="B347" s="11"/>
      <c r="C347" s="11"/>
      <c r="D347" s="11"/>
      <c r="E347" s="11"/>
      <c r="F347" s="11"/>
      <c r="G347" s="11"/>
      <c r="H347" s="11"/>
      <c r="I347" s="11"/>
      <c r="J347" s="11"/>
      <c r="K347" s="11"/>
      <c r="L347" s="15"/>
      <c r="M347" s="15"/>
      <c r="N347" s="15"/>
      <c r="O347" s="15"/>
      <c r="P347" s="15"/>
      <c r="Q347" s="11"/>
      <c r="R347" s="11"/>
      <c r="S347" s="11"/>
      <c r="T347" s="11"/>
      <c r="U347" s="15"/>
      <c r="V347" s="11"/>
      <c r="W347" s="11"/>
      <c r="X347" s="11"/>
      <c r="Y347" s="11"/>
      <c r="Z347" s="11"/>
    </row>
    <row r="348">
      <c r="A348" s="18"/>
      <c r="B348" s="11"/>
      <c r="C348" s="11"/>
      <c r="D348" s="11"/>
      <c r="E348" s="11"/>
      <c r="F348" s="11"/>
      <c r="G348" s="11"/>
      <c r="H348" s="11"/>
      <c r="I348" s="11"/>
      <c r="J348" s="11"/>
      <c r="K348" s="11"/>
      <c r="L348" s="15"/>
      <c r="M348" s="15"/>
      <c r="N348" s="15"/>
      <c r="O348" s="15"/>
      <c r="P348" s="15"/>
      <c r="Q348" s="11"/>
      <c r="R348" s="11"/>
      <c r="S348" s="11"/>
      <c r="T348" s="11"/>
      <c r="U348" s="15"/>
      <c r="V348" s="11"/>
      <c r="W348" s="11"/>
      <c r="X348" s="11"/>
      <c r="Y348" s="11"/>
      <c r="Z348" s="11"/>
    </row>
    <row r="349">
      <c r="A349" s="18"/>
      <c r="B349" s="11"/>
      <c r="C349" s="11"/>
      <c r="D349" s="11"/>
      <c r="E349" s="11"/>
      <c r="F349" s="11"/>
      <c r="G349" s="11"/>
      <c r="H349" s="11"/>
      <c r="I349" s="11"/>
      <c r="J349" s="11"/>
      <c r="K349" s="11"/>
      <c r="L349" s="15"/>
      <c r="M349" s="15"/>
      <c r="N349" s="15"/>
      <c r="O349" s="15"/>
      <c r="P349" s="15"/>
      <c r="Q349" s="11"/>
      <c r="R349" s="11"/>
      <c r="S349" s="11"/>
      <c r="T349" s="11"/>
      <c r="U349" s="15"/>
      <c r="V349" s="11"/>
      <c r="W349" s="11"/>
      <c r="X349" s="11"/>
      <c r="Y349" s="11"/>
      <c r="Z349" s="11"/>
    </row>
    <row r="350">
      <c r="A350" s="18"/>
      <c r="B350" s="11"/>
      <c r="C350" s="11"/>
      <c r="D350" s="11"/>
      <c r="E350" s="11"/>
      <c r="F350" s="11"/>
      <c r="G350" s="11"/>
      <c r="H350" s="11"/>
      <c r="I350" s="11"/>
      <c r="J350" s="11"/>
      <c r="K350" s="11"/>
      <c r="L350" s="15"/>
      <c r="M350" s="15"/>
      <c r="N350" s="15"/>
      <c r="O350" s="15"/>
      <c r="P350" s="15"/>
      <c r="Q350" s="11"/>
      <c r="R350" s="11"/>
      <c r="S350" s="11"/>
      <c r="T350" s="11"/>
      <c r="U350" s="15"/>
      <c r="V350" s="11"/>
      <c r="W350" s="11"/>
      <c r="X350" s="11"/>
      <c r="Y350" s="11"/>
      <c r="Z350" s="11"/>
    </row>
    <row r="351">
      <c r="A351" s="18"/>
      <c r="B351" s="11"/>
      <c r="C351" s="11"/>
      <c r="D351" s="11"/>
      <c r="E351" s="11"/>
      <c r="F351" s="11"/>
      <c r="G351" s="11"/>
      <c r="H351" s="11"/>
      <c r="I351" s="11"/>
      <c r="J351" s="11"/>
      <c r="K351" s="11"/>
      <c r="L351" s="15"/>
      <c r="M351" s="15"/>
      <c r="N351" s="15"/>
      <c r="O351" s="15"/>
      <c r="P351" s="15"/>
      <c r="Q351" s="11"/>
      <c r="R351" s="11"/>
      <c r="S351" s="11"/>
      <c r="T351" s="11"/>
      <c r="U351" s="15"/>
      <c r="V351" s="11"/>
      <c r="W351" s="11"/>
      <c r="X351" s="11"/>
      <c r="Y351" s="11"/>
      <c r="Z351" s="11"/>
    </row>
    <row r="352">
      <c r="A352" s="18"/>
      <c r="B352" s="11"/>
      <c r="C352" s="11"/>
      <c r="D352" s="11"/>
      <c r="E352" s="11"/>
      <c r="F352" s="11"/>
      <c r="G352" s="11"/>
      <c r="H352" s="11"/>
      <c r="I352" s="11"/>
      <c r="J352" s="11"/>
      <c r="K352" s="11"/>
      <c r="L352" s="15"/>
      <c r="M352" s="15"/>
      <c r="N352" s="15"/>
      <c r="O352" s="15"/>
      <c r="P352" s="15"/>
      <c r="Q352" s="11"/>
      <c r="R352" s="11"/>
      <c r="S352" s="11"/>
      <c r="T352" s="11"/>
      <c r="U352" s="15"/>
      <c r="V352" s="11"/>
      <c r="W352" s="11"/>
      <c r="X352" s="11"/>
      <c r="Y352" s="11"/>
      <c r="Z352" s="11"/>
    </row>
    <row r="353">
      <c r="A353" s="18"/>
      <c r="B353" s="11"/>
      <c r="C353" s="11"/>
      <c r="D353" s="11"/>
      <c r="E353" s="11"/>
      <c r="F353" s="11"/>
      <c r="G353" s="11"/>
      <c r="H353" s="11"/>
      <c r="I353" s="11"/>
      <c r="J353" s="11"/>
      <c r="K353" s="11"/>
      <c r="L353" s="15"/>
      <c r="M353" s="15"/>
      <c r="N353" s="15"/>
      <c r="O353" s="15"/>
      <c r="P353" s="15"/>
      <c r="Q353" s="11"/>
      <c r="R353" s="11"/>
      <c r="S353" s="11"/>
      <c r="T353" s="11"/>
      <c r="U353" s="15"/>
      <c r="V353" s="11"/>
      <c r="W353" s="11"/>
      <c r="X353" s="11"/>
      <c r="Y353" s="11"/>
      <c r="Z353" s="11"/>
    </row>
    <row r="354">
      <c r="A354" s="18"/>
      <c r="B354" s="11"/>
      <c r="C354" s="11"/>
      <c r="D354" s="11"/>
      <c r="E354" s="11"/>
      <c r="F354" s="11"/>
      <c r="G354" s="11"/>
      <c r="H354" s="11"/>
      <c r="I354" s="11"/>
      <c r="J354" s="11"/>
      <c r="K354" s="11"/>
      <c r="L354" s="15"/>
      <c r="M354" s="15"/>
      <c r="N354" s="15"/>
      <c r="O354" s="15"/>
      <c r="P354" s="15"/>
      <c r="Q354" s="11"/>
      <c r="R354" s="11"/>
      <c r="S354" s="11"/>
      <c r="T354" s="11"/>
      <c r="U354" s="15"/>
      <c r="V354" s="11"/>
      <c r="W354" s="11"/>
      <c r="X354" s="11"/>
      <c r="Y354" s="11"/>
      <c r="Z354" s="11"/>
    </row>
    <row r="355">
      <c r="A355" s="18"/>
      <c r="B355" s="11"/>
      <c r="C355" s="11"/>
      <c r="D355" s="11"/>
      <c r="E355" s="11"/>
      <c r="F355" s="11"/>
      <c r="G355" s="11"/>
      <c r="H355" s="11"/>
      <c r="I355" s="11"/>
      <c r="J355" s="11"/>
      <c r="K355" s="11"/>
      <c r="L355" s="15"/>
      <c r="M355" s="15"/>
      <c r="N355" s="15"/>
      <c r="O355" s="15"/>
      <c r="P355" s="15"/>
      <c r="Q355" s="11"/>
      <c r="R355" s="11"/>
      <c r="S355" s="11"/>
      <c r="T355" s="11"/>
      <c r="U355" s="15"/>
      <c r="V355" s="11"/>
      <c r="W355" s="11"/>
      <c r="X355" s="11"/>
      <c r="Y355" s="11"/>
      <c r="Z355" s="11"/>
    </row>
    <row r="356">
      <c r="A356" s="18"/>
      <c r="B356" s="11"/>
      <c r="C356" s="11"/>
      <c r="D356" s="11"/>
      <c r="E356" s="11"/>
      <c r="F356" s="11"/>
      <c r="G356" s="11"/>
      <c r="H356" s="11"/>
      <c r="I356" s="11"/>
      <c r="J356" s="11"/>
      <c r="K356" s="11"/>
      <c r="L356" s="15"/>
      <c r="M356" s="15"/>
      <c r="N356" s="15"/>
      <c r="O356" s="15"/>
      <c r="P356" s="15"/>
      <c r="Q356" s="11"/>
      <c r="R356" s="11"/>
      <c r="S356" s="11"/>
      <c r="T356" s="11"/>
      <c r="U356" s="15"/>
      <c r="V356" s="11"/>
      <c r="W356" s="11"/>
      <c r="X356" s="11"/>
      <c r="Y356" s="11"/>
      <c r="Z356" s="11"/>
    </row>
    <row r="357">
      <c r="A357" s="18"/>
      <c r="B357" s="11"/>
      <c r="C357" s="11"/>
      <c r="D357" s="11"/>
      <c r="E357" s="11"/>
      <c r="F357" s="11"/>
      <c r="G357" s="11"/>
      <c r="H357" s="11"/>
      <c r="I357" s="11"/>
      <c r="J357" s="11"/>
      <c r="K357" s="11"/>
      <c r="L357" s="15"/>
      <c r="M357" s="15"/>
      <c r="N357" s="15"/>
      <c r="O357" s="15"/>
      <c r="P357" s="15"/>
      <c r="Q357" s="11"/>
      <c r="R357" s="11"/>
      <c r="S357" s="11"/>
      <c r="T357" s="11"/>
      <c r="U357" s="15"/>
      <c r="V357" s="11"/>
      <c r="W357" s="11"/>
      <c r="X357" s="11"/>
      <c r="Y357" s="11"/>
      <c r="Z357" s="11"/>
    </row>
    <row r="358">
      <c r="A358" s="18"/>
      <c r="B358" s="11"/>
      <c r="C358" s="11"/>
      <c r="D358" s="11"/>
      <c r="E358" s="11"/>
      <c r="F358" s="11"/>
      <c r="G358" s="11"/>
      <c r="H358" s="11"/>
      <c r="I358" s="11"/>
      <c r="J358" s="11"/>
      <c r="K358" s="11"/>
      <c r="L358" s="15"/>
      <c r="M358" s="15"/>
      <c r="N358" s="15"/>
      <c r="O358" s="15"/>
      <c r="P358" s="15"/>
      <c r="Q358" s="11"/>
      <c r="R358" s="11"/>
      <c r="S358" s="11"/>
      <c r="T358" s="11"/>
      <c r="U358" s="15"/>
      <c r="V358" s="11"/>
      <c r="W358" s="11"/>
      <c r="X358" s="11"/>
      <c r="Y358" s="11"/>
      <c r="Z358" s="11"/>
    </row>
    <row r="359">
      <c r="A359" s="18"/>
      <c r="B359" s="11"/>
      <c r="C359" s="11"/>
      <c r="D359" s="11"/>
      <c r="E359" s="11"/>
      <c r="F359" s="11"/>
      <c r="G359" s="11"/>
      <c r="H359" s="11"/>
      <c r="I359" s="11"/>
      <c r="J359" s="11"/>
      <c r="K359" s="11"/>
      <c r="L359" s="15"/>
      <c r="M359" s="15"/>
      <c r="N359" s="15"/>
      <c r="O359" s="15"/>
      <c r="P359" s="15"/>
      <c r="Q359" s="11"/>
      <c r="R359" s="11"/>
      <c r="S359" s="11"/>
      <c r="T359" s="11"/>
      <c r="U359" s="15"/>
      <c r="V359" s="11"/>
      <c r="W359" s="11"/>
      <c r="X359" s="11"/>
      <c r="Y359" s="11"/>
      <c r="Z359" s="11"/>
    </row>
    <row r="360">
      <c r="A360" s="18"/>
      <c r="B360" s="11"/>
      <c r="C360" s="11"/>
      <c r="D360" s="11"/>
      <c r="E360" s="11"/>
      <c r="F360" s="11"/>
      <c r="G360" s="11"/>
      <c r="H360" s="11"/>
      <c r="I360" s="11"/>
      <c r="J360" s="11"/>
      <c r="K360" s="11"/>
      <c r="L360" s="15"/>
      <c r="M360" s="15"/>
      <c r="N360" s="15"/>
      <c r="O360" s="15"/>
      <c r="P360" s="15"/>
      <c r="Q360" s="11"/>
      <c r="R360" s="11"/>
      <c r="S360" s="11"/>
      <c r="T360" s="11"/>
      <c r="U360" s="15"/>
      <c r="V360" s="11"/>
      <c r="W360" s="11"/>
      <c r="X360" s="11"/>
      <c r="Y360" s="11"/>
      <c r="Z360" s="11"/>
    </row>
    <row r="361">
      <c r="A361" s="18"/>
      <c r="B361" s="11"/>
      <c r="C361" s="11"/>
      <c r="D361" s="11"/>
      <c r="E361" s="11"/>
      <c r="F361" s="11"/>
      <c r="G361" s="11"/>
      <c r="H361" s="11"/>
      <c r="I361" s="11"/>
      <c r="J361" s="11"/>
      <c r="K361" s="11"/>
      <c r="L361" s="15"/>
      <c r="M361" s="15"/>
      <c r="N361" s="15"/>
      <c r="O361" s="15"/>
      <c r="P361" s="15"/>
      <c r="Q361" s="11"/>
      <c r="R361" s="11"/>
      <c r="S361" s="11"/>
      <c r="T361" s="11"/>
      <c r="U361" s="15"/>
      <c r="V361" s="11"/>
      <c r="W361" s="11"/>
      <c r="X361" s="11"/>
      <c r="Y361" s="11"/>
      <c r="Z361" s="11"/>
    </row>
    <row r="362">
      <c r="A362" s="18"/>
      <c r="B362" s="11"/>
      <c r="C362" s="11"/>
      <c r="D362" s="11"/>
      <c r="E362" s="11"/>
      <c r="F362" s="11"/>
      <c r="G362" s="11"/>
      <c r="H362" s="11"/>
      <c r="I362" s="11"/>
      <c r="J362" s="11"/>
      <c r="K362" s="11"/>
      <c r="L362" s="15"/>
      <c r="M362" s="15"/>
      <c r="N362" s="15"/>
      <c r="O362" s="15"/>
      <c r="P362" s="15"/>
      <c r="Q362" s="11"/>
      <c r="R362" s="11"/>
      <c r="S362" s="11"/>
      <c r="T362" s="11"/>
      <c r="U362" s="15"/>
      <c r="V362" s="11"/>
      <c r="W362" s="11"/>
      <c r="X362" s="11"/>
      <c r="Y362" s="11"/>
      <c r="Z362" s="11"/>
    </row>
    <row r="363">
      <c r="A363" s="18"/>
      <c r="B363" s="11"/>
      <c r="C363" s="11"/>
      <c r="D363" s="11"/>
      <c r="E363" s="11"/>
      <c r="F363" s="11"/>
      <c r="G363" s="11"/>
      <c r="H363" s="11"/>
      <c r="I363" s="11"/>
      <c r="J363" s="11"/>
      <c r="K363" s="11"/>
      <c r="L363" s="15"/>
      <c r="M363" s="15"/>
      <c r="N363" s="15"/>
      <c r="O363" s="15"/>
      <c r="P363" s="15"/>
      <c r="Q363" s="11"/>
      <c r="R363" s="11"/>
      <c r="S363" s="11"/>
      <c r="T363" s="11"/>
      <c r="U363" s="15"/>
      <c r="V363" s="11"/>
      <c r="W363" s="11"/>
      <c r="X363" s="11"/>
      <c r="Y363" s="11"/>
      <c r="Z363" s="11"/>
    </row>
    <row r="364">
      <c r="A364" s="18"/>
      <c r="B364" s="11"/>
      <c r="C364" s="11"/>
      <c r="D364" s="11"/>
      <c r="E364" s="11"/>
      <c r="F364" s="11"/>
      <c r="G364" s="11"/>
      <c r="H364" s="11"/>
      <c r="I364" s="11"/>
      <c r="J364" s="11"/>
      <c r="K364" s="11"/>
      <c r="L364" s="15"/>
      <c r="M364" s="15"/>
      <c r="N364" s="15"/>
      <c r="O364" s="15"/>
      <c r="P364" s="15"/>
      <c r="Q364" s="11"/>
      <c r="R364" s="11"/>
      <c r="S364" s="11"/>
      <c r="T364" s="11"/>
      <c r="U364" s="15"/>
      <c r="V364" s="11"/>
      <c r="W364" s="11"/>
      <c r="X364" s="11"/>
      <c r="Y364" s="11"/>
      <c r="Z364" s="11"/>
    </row>
    <row r="365">
      <c r="A365" s="18"/>
      <c r="B365" s="11"/>
      <c r="C365" s="11"/>
      <c r="D365" s="11"/>
      <c r="E365" s="11"/>
      <c r="F365" s="11"/>
      <c r="G365" s="11"/>
      <c r="H365" s="11"/>
      <c r="I365" s="11"/>
      <c r="J365" s="11"/>
      <c r="K365" s="11"/>
      <c r="L365" s="15"/>
      <c r="M365" s="15"/>
      <c r="N365" s="15"/>
      <c r="O365" s="15"/>
      <c r="P365" s="15"/>
      <c r="Q365" s="11"/>
      <c r="R365" s="11"/>
      <c r="S365" s="11"/>
      <c r="T365" s="11"/>
      <c r="U365" s="15"/>
      <c r="V365" s="11"/>
      <c r="W365" s="11"/>
      <c r="X365" s="11"/>
      <c r="Y365" s="11"/>
      <c r="Z365" s="11"/>
    </row>
    <row r="366">
      <c r="A366" s="18"/>
      <c r="B366" s="11"/>
      <c r="C366" s="11"/>
      <c r="D366" s="11"/>
      <c r="E366" s="11"/>
      <c r="F366" s="11"/>
      <c r="G366" s="11"/>
      <c r="H366" s="11"/>
      <c r="I366" s="11"/>
      <c r="J366" s="11"/>
      <c r="K366" s="11"/>
      <c r="L366" s="15"/>
      <c r="M366" s="15"/>
      <c r="N366" s="15"/>
      <c r="O366" s="15"/>
      <c r="P366" s="15"/>
      <c r="Q366" s="11"/>
      <c r="R366" s="11"/>
      <c r="S366" s="11"/>
      <c r="T366" s="11"/>
      <c r="U366" s="15"/>
      <c r="V366" s="11"/>
      <c r="W366" s="11"/>
      <c r="X366" s="11"/>
      <c r="Y366" s="11"/>
      <c r="Z366" s="11"/>
    </row>
    <row r="367">
      <c r="A367" s="18"/>
      <c r="B367" s="11"/>
      <c r="C367" s="11"/>
      <c r="D367" s="11"/>
      <c r="E367" s="11"/>
      <c r="F367" s="11"/>
      <c r="G367" s="11"/>
      <c r="H367" s="11"/>
      <c r="I367" s="11"/>
      <c r="J367" s="11"/>
      <c r="K367" s="11"/>
      <c r="L367" s="15"/>
      <c r="M367" s="15"/>
      <c r="N367" s="15"/>
      <c r="O367" s="15"/>
      <c r="P367" s="15"/>
      <c r="Q367" s="11"/>
      <c r="R367" s="11"/>
      <c r="S367" s="11"/>
      <c r="T367" s="11"/>
      <c r="U367" s="15"/>
      <c r="V367" s="11"/>
      <c r="W367" s="11"/>
      <c r="X367" s="11"/>
      <c r="Y367" s="11"/>
      <c r="Z367" s="11"/>
    </row>
    <row r="368">
      <c r="A368" s="18"/>
      <c r="B368" s="11"/>
      <c r="C368" s="11"/>
      <c r="D368" s="11"/>
      <c r="E368" s="11"/>
      <c r="F368" s="11"/>
      <c r="G368" s="11"/>
      <c r="H368" s="11"/>
      <c r="I368" s="11"/>
      <c r="J368" s="11"/>
      <c r="K368" s="11"/>
      <c r="L368" s="15"/>
      <c r="M368" s="15"/>
      <c r="N368" s="15"/>
      <c r="O368" s="15"/>
      <c r="P368" s="15"/>
      <c r="Q368" s="11"/>
      <c r="R368" s="11"/>
      <c r="S368" s="11"/>
      <c r="T368" s="11"/>
      <c r="U368" s="15"/>
      <c r="V368" s="11"/>
      <c r="W368" s="11"/>
      <c r="X368" s="11"/>
      <c r="Y368" s="11"/>
      <c r="Z368" s="11"/>
    </row>
    <row r="369">
      <c r="A369" s="18"/>
      <c r="B369" s="11"/>
      <c r="C369" s="11"/>
      <c r="D369" s="11"/>
      <c r="E369" s="11"/>
      <c r="F369" s="11"/>
      <c r="G369" s="11"/>
      <c r="H369" s="11"/>
      <c r="I369" s="11"/>
      <c r="J369" s="11"/>
      <c r="K369" s="11"/>
      <c r="L369" s="15"/>
      <c r="M369" s="15"/>
      <c r="N369" s="15"/>
      <c r="O369" s="15"/>
      <c r="P369" s="15"/>
      <c r="Q369" s="11"/>
      <c r="R369" s="11"/>
      <c r="S369" s="11"/>
      <c r="T369" s="11"/>
      <c r="U369" s="15"/>
      <c r="V369" s="11"/>
      <c r="W369" s="11"/>
      <c r="X369" s="11"/>
      <c r="Y369" s="11"/>
      <c r="Z369" s="11"/>
    </row>
    <row r="370">
      <c r="A370" s="18"/>
      <c r="B370" s="11"/>
      <c r="C370" s="11"/>
      <c r="D370" s="11"/>
      <c r="E370" s="11"/>
      <c r="F370" s="11"/>
      <c r="G370" s="11"/>
      <c r="H370" s="11"/>
      <c r="I370" s="11"/>
      <c r="J370" s="11"/>
      <c r="K370" s="11"/>
      <c r="L370" s="15"/>
      <c r="M370" s="15"/>
      <c r="N370" s="15"/>
      <c r="O370" s="15"/>
      <c r="P370" s="15"/>
      <c r="Q370" s="11"/>
      <c r="R370" s="11"/>
      <c r="S370" s="11"/>
      <c r="T370" s="11"/>
      <c r="U370" s="15"/>
      <c r="V370" s="11"/>
      <c r="W370" s="11"/>
      <c r="X370" s="11"/>
      <c r="Y370" s="11"/>
      <c r="Z370" s="11"/>
    </row>
    <row r="371">
      <c r="A371" s="18"/>
      <c r="B371" s="11"/>
      <c r="C371" s="11"/>
      <c r="D371" s="11"/>
      <c r="E371" s="11"/>
      <c r="F371" s="11"/>
      <c r="G371" s="11"/>
      <c r="H371" s="11"/>
      <c r="I371" s="11"/>
      <c r="J371" s="11"/>
      <c r="K371" s="11"/>
      <c r="L371" s="15"/>
      <c r="M371" s="15"/>
      <c r="N371" s="15"/>
      <c r="O371" s="15"/>
      <c r="P371" s="15"/>
      <c r="Q371" s="11"/>
      <c r="R371" s="11"/>
      <c r="S371" s="11"/>
      <c r="T371" s="11"/>
      <c r="U371" s="15"/>
      <c r="V371" s="11"/>
      <c r="W371" s="11"/>
      <c r="X371" s="11"/>
      <c r="Y371" s="11"/>
      <c r="Z371" s="11"/>
    </row>
    <row r="372">
      <c r="A372" s="18"/>
      <c r="B372" s="11"/>
      <c r="C372" s="11"/>
      <c r="D372" s="11"/>
      <c r="E372" s="11"/>
      <c r="F372" s="11"/>
      <c r="G372" s="11"/>
      <c r="H372" s="11"/>
      <c r="I372" s="11"/>
      <c r="J372" s="11"/>
      <c r="K372" s="11"/>
      <c r="L372" s="15"/>
      <c r="M372" s="15"/>
      <c r="N372" s="15"/>
      <c r="O372" s="15"/>
      <c r="P372" s="15"/>
      <c r="Q372" s="11"/>
      <c r="R372" s="11"/>
      <c r="S372" s="11"/>
      <c r="T372" s="11"/>
      <c r="U372" s="15"/>
      <c r="V372" s="11"/>
      <c r="W372" s="11"/>
      <c r="X372" s="11"/>
      <c r="Y372" s="11"/>
      <c r="Z372" s="11"/>
    </row>
    <row r="373">
      <c r="A373" s="18"/>
      <c r="B373" s="11"/>
      <c r="C373" s="11"/>
      <c r="D373" s="11"/>
      <c r="E373" s="11"/>
      <c r="F373" s="11"/>
      <c r="G373" s="11"/>
      <c r="H373" s="11"/>
      <c r="I373" s="11"/>
      <c r="J373" s="11"/>
      <c r="K373" s="11"/>
      <c r="L373" s="15"/>
      <c r="M373" s="15"/>
      <c r="N373" s="15"/>
      <c r="O373" s="15"/>
      <c r="P373" s="15"/>
      <c r="Q373" s="11"/>
      <c r="R373" s="11"/>
      <c r="S373" s="11"/>
      <c r="T373" s="11"/>
      <c r="U373" s="15"/>
      <c r="V373" s="11"/>
      <c r="W373" s="11"/>
      <c r="X373" s="11"/>
      <c r="Y373" s="11"/>
      <c r="Z373" s="11"/>
    </row>
    <row r="374">
      <c r="A374" s="18"/>
      <c r="B374" s="11"/>
      <c r="C374" s="11"/>
      <c r="D374" s="11"/>
      <c r="E374" s="11"/>
      <c r="F374" s="11"/>
      <c r="G374" s="11"/>
      <c r="H374" s="11"/>
      <c r="I374" s="11"/>
      <c r="J374" s="11"/>
      <c r="K374" s="11"/>
      <c r="L374" s="15"/>
      <c r="M374" s="15"/>
      <c r="N374" s="15"/>
      <c r="O374" s="15"/>
      <c r="P374" s="15"/>
      <c r="Q374" s="11"/>
      <c r="R374" s="11"/>
      <c r="S374" s="11"/>
      <c r="T374" s="11"/>
      <c r="U374" s="15"/>
      <c r="V374" s="11"/>
      <c r="W374" s="11"/>
      <c r="X374" s="11"/>
      <c r="Y374" s="11"/>
      <c r="Z374" s="11"/>
    </row>
    <row r="375">
      <c r="A375" s="18"/>
      <c r="B375" s="11"/>
      <c r="C375" s="11"/>
      <c r="D375" s="11"/>
      <c r="E375" s="11"/>
      <c r="F375" s="11"/>
      <c r="G375" s="11"/>
      <c r="H375" s="11"/>
      <c r="I375" s="11"/>
      <c r="J375" s="11"/>
      <c r="K375" s="11"/>
      <c r="L375" s="15"/>
      <c r="M375" s="15"/>
      <c r="N375" s="15"/>
      <c r="O375" s="15"/>
      <c r="P375" s="15"/>
      <c r="Q375" s="11"/>
      <c r="R375" s="11"/>
      <c r="S375" s="11"/>
      <c r="T375" s="11"/>
      <c r="U375" s="15"/>
      <c r="V375" s="11"/>
      <c r="W375" s="11"/>
      <c r="X375" s="11"/>
      <c r="Y375" s="11"/>
      <c r="Z375" s="11"/>
    </row>
    <row r="376">
      <c r="A376" s="18"/>
      <c r="B376" s="11"/>
      <c r="C376" s="11"/>
      <c r="D376" s="11"/>
      <c r="E376" s="11"/>
      <c r="F376" s="11"/>
      <c r="G376" s="11"/>
      <c r="H376" s="11"/>
      <c r="I376" s="11"/>
      <c r="J376" s="11"/>
      <c r="K376" s="11"/>
      <c r="L376" s="15"/>
      <c r="M376" s="15"/>
      <c r="N376" s="15"/>
      <c r="O376" s="15"/>
      <c r="P376" s="15"/>
      <c r="Q376" s="11"/>
      <c r="R376" s="11"/>
      <c r="S376" s="11"/>
      <c r="T376" s="11"/>
      <c r="U376" s="15"/>
      <c r="V376" s="11"/>
      <c r="W376" s="11"/>
      <c r="X376" s="11"/>
      <c r="Y376" s="11"/>
      <c r="Z376" s="11"/>
    </row>
    <row r="377">
      <c r="A377" s="18"/>
      <c r="B377" s="11"/>
      <c r="C377" s="11"/>
      <c r="D377" s="11"/>
      <c r="E377" s="11"/>
      <c r="F377" s="11"/>
      <c r="G377" s="11"/>
      <c r="H377" s="11"/>
      <c r="I377" s="11"/>
      <c r="J377" s="11"/>
      <c r="K377" s="11"/>
      <c r="L377" s="15"/>
      <c r="M377" s="15"/>
      <c r="N377" s="15"/>
      <c r="O377" s="15"/>
      <c r="P377" s="15"/>
      <c r="Q377" s="11"/>
      <c r="R377" s="11"/>
      <c r="S377" s="11"/>
      <c r="T377" s="11"/>
      <c r="U377" s="15"/>
      <c r="V377" s="11"/>
      <c r="W377" s="11"/>
      <c r="X377" s="11"/>
      <c r="Y377" s="11"/>
      <c r="Z377" s="11"/>
    </row>
    <row r="378">
      <c r="A378" s="18"/>
      <c r="B378" s="11"/>
      <c r="C378" s="11"/>
      <c r="D378" s="11"/>
      <c r="E378" s="11"/>
      <c r="F378" s="11"/>
      <c r="G378" s="11"/>
      <c r="H378" s="11"/>
      <c r="I378" s="11"/>
      <c r="J378" s="11"/>
      <c r="K378" s="11"/>
      <c r="L378" s="15"/>
      <c r="M378" s="15"/>
      <c r="N378" s="15"/>
      <c r="O378" s="15"/>
      <c r="P378" s="15"/>
      <c r="Q378" s="11"/>
      <c r="R378" s="11"/>
      <c r="S378" s="11"/>
      <c r="T378" s="11"/>
      <c r="U378" s="15"/>
      <c r="V378" s="11"/>
      <c r="W378" s="11"/>
      <c r="X378" s="11"/>
      <c r="Y378" s="11"/>
      <c r="Z378" s="11"/>
    </row>
    <row r="379">
      <c r="A379" s="18"/>
      <c r="B379" s="11"/>
      <c r="C379" s="11"/>
      <c r="D379" s="11"/>
      <c r="E379" s="11"/>
      <c r="F379" s="11"/>
      <c r="G379" s="11"/>
      <c r="H379" s="11"/>
      <c r="I379" s="11"/>
      <c r="J379" s="11"/>
      <c r="K379" s="11"/>
      <c r="L379" s="15"/>
      <c r="M379" s="15"/>
      <c r="N379" s="15"/>
      <c r="O379" s="15"/>
      <c r="P379" s="15"/>
      <c r="Q379" s="11"/>
      <c r="R379" s="11"/>
      <c r="S379" s="11"/>
      <c r="T379" s="11"/>
      <c r="U379" s="15"/>
      <c r="V379" s="11"/>
      <c r="W379" s="11"/>
      <c r="X379" s="11"/>
      <c r="Y379" s="11"/>
      <c r="Z379" s="11"/>
    </row>
    <row r="380">
      <c r="A380" s="18"/>
      <c r="B380" s="11"/>
      <c r="C380" s="11"/>
      <c r="D380" s="11"/>
      <c r="E380" s="11"/>
      <c r="F380" s="11"/>
      <c r="G380" s="11"/>
      <c r="H380" s="11"/>
      <c r="I380" s="11"/>
      <c r="J380" s="11"/>
      <c r="K380" s="11"/>
      <c r="L380" s="15"/>
      <c r="M380" s="15"/>
      <c r="N380" s="15"/>
      <c r="O380" s="15"/>
      <c r="P380" s="15"/>
      <c r="Q380" s="11"/>
      <c r="R380" s="11"/>
      <c r="S380" s="11"/>
      <c r="T380" s="11"/>
      <c r="U380" s="15"/>
      <c r="V380" s="11"/>
      <c r="W380" s="11"/>
      <c r="X380" s="11"/>
      <c r="Y380" s="11"/>
      <c r="Z380" s="11"/>
    </row>
    <row r="381">
      <c r="A381" s="18"/>
      <c r="B381" s="11"/>
      <c r="C381" s="11"/>
      <c r="D381" s="11"/>
      <c r="E381" s="11"/>
      <c r="F381" s="11"/>
      <c r="G381" s="11"/>
      <c r="H381" s="11"/>
      <c r="I381" s="11"/>
      <c r="J381" s="11"/>
      <c r="K381" s="11"/>
      <c r="L381" s="15"/>
      <c r="M381" s="15"/>
      <c r="N381" s="15"/>
      <c r="O381" s="15"/>
      <c r="P381" s="15"/>
      <c r="Q381" s="11"/>
      <c r="R381" s="11"/>
      <c r="S381" s="11"/>
      <c r="T381" s="11"/>
      <c r="U381" s="15"/>
      <c r="V381" s="11"/>
      <c r="W381" s="11"/>
      <c r="X381" s="11"/>
      <c r="Y381" s="11"/>
      <c r="Z381" s="11"/>
    </row>
    <row r="382">
      <c r="A382" s="18"/>
      <c r="B382" s="11"/>
      <c r="C382" s="11"/>
      <c r="D382" s="11"/>
      <c r="E382" s="11"/>
      <c r="F382" s="11"/>
      <c r="G382" s="11"/>
      <c r="H382" s="11"/>
      <c r="I382" s="11"/>
      <c r="J382" s="11"/>
      <c r="K382" s="11"/>
      <c r="L382" s="15"/>
      <c r="M382" s="15"/>
      <c r="N382" s="15"/>
      <c r="O382" s="15"/>
      <c r="P382" s="15"/>
      <c r="Q382" s="11"/>
      <c r="R382" s="11"/>
      <c r="S382" s="11"/>
      <c r="T382" s="11"/>
      <c r="U382" s="15"/>
      <c r="V382" s="11"/>
      <c r="W382" s="11"/>
      <c r="X382" s="11"/>
      <c r="Y382" s="11"/>
      <c r="Z382" s="11"/>
    </row>
    <row r="383">
      <c r="A383" s="18"/>
      <c r="B383" s="11"/>
      <c r="C383" s="11"/>
      <c r="D383" s="11"/>
      <c r="E383" s="11"/>
      <c r="F383" s="11"/>
      <c r="G383" s="11"/>
      <c r="H383" s="11"/>
      <c r="I383" s="11"/>
      <c r="J383" s="11"/>
      <c r="K383" s="11"/>
      <c r="L383" s="15"/>
      <c r="M383" s="15"/>
      <c r="N383" s="15"/>
      <c r="O383" s="15"/>
      <c r="P383" s="15"/>
      <c r="Q383" s="11"/>
      <c r="R383" s="11"/>
      <c r="S383" s="11"/>
      <c r="T383" s="11"/>
      <c r="U383" s="15"/>
      <c r="V383" s="11"/>
      <c r="W383" s="11"/>
      <c r="X383" s="11"/>
      <c r="Y383" s="11"/>
      <c r="Z383" s="11"/>
    </row>
    <row r="384">
      <c r="A384" s="18"/>
      <c r="B384" s="11"/>
      <c r="C384" s="11"/>
      <c r="D384" s="11"/>
      <c r="E384" s="11"/>
      <c r="F384" s="11"/>
      <c r="G384" s="11"/>
      <c r="H384" s="11"/>
      <c r="I384" s="11"/>
      <c r="J384" s="11"/>
      <c r="K384" s="11"/>
      <c r="L384" s="15"/>
      <c r="M384" s="15"/>
      <c r="N384" s="15"/>
      <c r="O384" s="15"/>
      <c r="P384" s="15"/>
      <c r="Q384" s="11"/>
      <c r="R384" s="11"/>
      <c r="S384" s="11"/>
      <c r="T384" s="11"/>
      <c r="U384" s="15"/>
      <c r="V384" s="11"/>
      <c r="W384" s="11"/>
      <c r="X384" s="11"/>
      <c r="Y384" s="11"/>
      <c r="Z384" s="11"/>
    </row>
    <row r="385">
      <c r="A385" s="18"/>
      <c r="B385" s="11"/>
      <c r="C385" s="11"/>
      <c r="D385" s="11"/>
      <c r="E385" s="11"/>
      <c r="F385" s="11"/>
      <c r="G385" s="11"/>
      <c r="H385" s="11"/>
      <c r="I385" s="11"/>
      <c r="J385" s="11"/>
      <c r="K385" s="11"/>
      <c r="L385" s="15"/>
      <c r="M385" s="15"/>
      <c r="N385" s="15"/>
      <c r="O385" s="15"/>
      <c r="P385" s="15"/>
      <c r="Q385" s="11"/>
      <c r="R385" s="11"/>
      <c r="S385" s="11"/>
      <c r="T385" s="11"/>
      <c r="U385" s="15"/>
      <c r="V385" s="11"/>
      <c r="W385" s="11"/>
      <c r="X385" s="11"/>
      <c r="Y385" s="11"/>
      <c r="Z385" s="11"/>
    </row>
    <row r="386">
      <c r="A386" s="18"/>
      <c r="B386" s="11"/>
      <c r="C386" s="11"/>
      <c r="D386" s="11"/>
      <c r="E386" s="11"/>
      <c r="F386" s="11"/>
      <c r="G386" s="11"/>
      <c r="H386" s="11"/>
      <c r="I386" s="11"/>
      <c r="J386" s="11"/>
      <c r="K386" s="11"/>
      <c r="L386" s="15"/>
      <c r="M386" s="15"/>
      <c r="N386" s="15"/>
      <c r="O386" s="15"/>
      <c r="P386" s="15"/>
      <c r="Q386" s="11"/>
      <c r="R386" s="11"/>
      <c r="S386" s="11"/>
      <c r="T386" s="11"/>
      <c r="U386" s="15"/>
      <c r="V386" s="11"/>
      <c r="W386" s="11"/>
      <c r="X386" s="11"/>
      <c r="Y386" s="11"/>
      <c r="Z386" s="11"/>
    </row>
    <row r="387">
      <c r="A387" s="18"/>
      <c r="B387" s="11"/>
      <c r="C387" s="11"/>
      <c r="D387" s="11"/>
      <c r="E387" s="11"/>
      <c r="F387" s="11"/>
      <c r="G387" s="11"/>
      <c r="H387" s="11"/>
      <c r="I387" s="11"/>
      <c r="J387" s="11"/>
      <c r="K387" s="11"/>
      <c r="L387" s="15"/>
      <c r="M387" s="15"/>
      <c r="N387" s="15"/>
      <c r="O387" s="15"/>
      <c r="P387" s="15"/>
      <c r="Q387" s="11"/>
      <c r="R387" s="11"/>
      <c r="S387" s="11"/>
      <c r="T387" s="11"/>
      <c r="U387" s="15"/>
      <c r="V387" s="11"/>
      <c r="W387" s="11"/>
      <c r="X387" s="11"/>
      <c r="Y387" s="11"/>
      <c r="Z387" s="11"/>
    </row>
    <row r="388">
      <c r="A388" s="18"/>
      <c r="B388" s="11"/>
      <c r="C388" s="11"/>
      <c r="D388" s="11"/>
      <c r="E388" s="11"/>
      <c r="F388" s="11"/>
      <c r="G388" s="11"/>
      <c r="H388" s="11"/>
      <c r="I388" s="11"/>
      <c r="J388" s="11"/>
      <c r="K388" s="11"/>
      <c r="L388" s="15"/>
      <c r="M388" s="15"/>
      <c r="N388" s="15"/>
      <c r="O388" s="15"/>
      <c r="P388" s="15"/>
      <c r="Q388" s="11"/>
      <c r="R388" s="11"/>
      <c r="S388" s="11"/>
      <c r="T388" s="11"/>
      <c r="U388" s="15"/>
      <c r="V388" s="11"/>
      <c r="W388" s="11"/>
      <c r="X388" s="11"/>
      <c r="Y388" s="11"/>
      <c r="Z388" s="11"/>
    </row>
    <row r="389">
      <c r="A389" s="18"/>
      <c r="B389" s="11"/>
      <c r="C389" s="11"/>
      <c r="D389" s="11"/>
      <c r="E389" s="11"/>
      <c r="F389" s="11"/>
      <c r="G389" s="11"/>
      <c r="H389" s="11"/>
      <c r="I389" s="11"/>
      <c r="J389" s="11"/>
      <c r="K389" s="11"/>
      <c r="L389" s="15"/>
      <c r="M389" s="15"/>
      <c r="N389" s="15"/>
      <c r="O389" s="15"/>
      <c r="P389" s="15"/>
      <c r="Q389" s="11"/>
      <c r="R389" s="11"/>
      <c r="S389" s="11"/>
      <c r="T389" s="11"/>
      <c r="U389" s="15"/>
      <c r="V389" s="11"/>
      <c r="W389" s="11"/>
      <c r="X389" s="11"/>
      <c r="Y389" s="11"/>
      <c r="Z389" s="11"/>
    </row>
    <row r="390">
      <c r="A390" s="18"/>
      <c r="B390" s="11"/>
      <c r="C390" s="11"/>
      <c r="D390" s="11"/>
      <c r="E390" s="11"/>
      <c r="F390" s="11"/>
      <c r="G390" s="11"/>
      <c r="H390" s="11"/>
      <c r="I390" s="11"/>
      <c r="J390" s="11"/>
      <c r="K390" s="11"/>
      <c r="L390" s="15"/>
      <c r="M390" s="15"/>
      <c r="N390" s="15"/>
      <c r="O390" s="15"/>
      <c r="P390" s="15"/>
      <c r="Q390" s="11"/>
      <c r="R390" s="11"/>
      <c r="S390" s="11"/>
      <c r="T390" s="11"/>
      <c r="U390" s="15"/>
      <c r="V390" s="11"/>
      <c r="W390" s="11"/>
      <c r="X390" s="11"/>
      <c r="Y390" s="11"/>
      <c r="Z390" s="11"/>
    </row>
    <row r="391">
      <c r="A391" s="18"/>
      <c r="B391" s="11"/>
      <c r="C391" s="11"/>
      <c r="D391" s="11"/>
      <c r="E391" s="11"/>
      <c r="F391" s="11"/>
      <c r="G391" s="11"/>
      <c r="H391" s="11"/>
      <c r="I391" s="11"/>
      <c r="J391" s="11"/>
      <c r="K391" s="11"/>
      <c r="L391" s="15"/>
      <c r="M391" s="15"/>
      <c r="N391" s="15"/>
      <c r="O391" s="15"/>
      <c r="P391" s="15"/>
      <c r="Q391" s="11"/>
      <c r="R391" s="11"/>
      <c r="S391" s="11"/>
      <c r="T391" s="11"/>
      <c r="U391" s="15"/>
      <c r="V391" s="11"/>
      <c r="W391" s="11"/>
      <c r="X391" s="11"/>
      <c r="Y391" s="11"/>
      <c r="Z391" s="11"/>
    </row>
    <row r="392">
      <c r="A392" s="18"/>
      <c r="B392" s="11"/>
      <c r="C392" s="11"/>
      <c r="D392" s="11"/>
      <c r="E392" s="11"/>
      <c r="F392" s="11"/>
      <c r="G392" s="11"/>
      <c r="H392" s="11"/>
      <c r="I392" s="11"/>
      <c r="J392" s="11"/>
      <c r="K392" s="11"/>
      <c r="L392" s="15"/>
      <c r="M392" s="15"/>
      <c r="N392" s="15"/>
      <c r="O392" s="15"/>
      <c r="P392" s="15"/>
      <c r="Q392" s="11"/>
      <c r="R392" s="11"/>
      <c r="S392" s="11"/>
      <c r="T392" s="11"/>
      <c r="U392" s="15"/>
      <c r="V392" s="11"/>
      <c r="W392" s="11"/>
      <c r="X392" s="11"/>
      <c r="Y392" s="11"/>
      <c r="Z392" s="11"/>
    </row>
    <row r="393">
      <c r="A393" s="18"/>
      <c r="B393" s="11"/>
      <c r="C393" s="11"/>
      <c r="D393" s="11"/>
      <c r="E393" s="11"/>
      <c r="F393" s="11"/>
      <c r="G393" s="11"/>
      <c r="H393" s="11"/>
      <c r="I393" s="11"/>
      <c r="J393" s="11"/>
      <c r="K393" s="11"/>
      <c r="L393" s="15"/>
      <c r="M393" s="15"/>
      <c r="N393" s="15"/>
      <c r="O393" s="15"/>
      <c r="P393" s="15"/>
      <c r="Q393" s="11"/>
      <c r="R393" s="11"/>
      <c r="S393" s="11"/>
      <c r="T393" s="11"/>
      <c r="U393" s="15"/>
      <c r="V393" s="11"/>
      <c r="W393" s="11"/>
      <c r="X393" s="11"/>
      <c r="Y393" s="11"/>
      <c r="Z393" s="11"/>
    </row>
    <row r="394">
      <c r="A394" s="18"/>
      <c r="B394" s="11"/>
      <c r="C394" s="11"/>
      <c r="D394" s="11"/>
      <c r="E394" s="11"/>
      <c r="F394" s="11"/>
      <c r="G394" s="11"/>
      <c r="H394" s="11"/>
      <c r="I394" s="11"/>
      <c r="J394" s="11"/>
      <c r="K394" s="11"/>
      <c r="L394" s="15"/>
      <c r="M394" s="15"/>
      <c r="N394" s="15"/>
      <c r="O394" s="15"/>
      <c r="P394" s="15"/>
      <c r="Q394" s="11"/>
      <c r="R394" s="11"/>
      <c r="S394" s="11"/>
      <c r="T394" s="11"/>
      <c r="U394" s="15"/>
      <c r="V394" s="11"/>
      <c r="W394" s="11"/>
      <c r="X394" s="11"/>
      <c r="Y394" s="11"/>
      <c r="Z394" s="11"/>
    </row>
    <row r="395">
      <c r="A395" s="18"/>
      <c r="B395" s="11"/>
      <c r="C395" s="11"/>
      <c r="D395" s="11"/>
      <c r="E395" s="11"/>
      <c r="F395" s="11"/>
      <c r="G395" s="11"/>
      <c r="H395" s="11"/>
      <c r="I395" s="11"/>
      <c r="J395" s="11"/>
      <c r="K395" s="11"/>
      <c r="L395" s="15"/>
      <c r="M395" s="15"/>
      <c r="N395" s="15"/>
      <c r="O395" s="15"/>
      <c r="P395" s="15"/>
      <c r="Q395" s="11"/>
      <c r="R395" s="11"/>
      <c r="S395" s="11"/>
      <c r="T395" s="11"/>
      <c r="U395" s="15"/>
      <c r="V395" s="11"/>
      <c r="W395" s="11"/>
      <c r="X395" s="11"/>
      <c r="Y395" s="11"/>
      <c r="Z395" s="11"/>
    </row>
    <row r="396">
      <c r="A396" s="18"/>
      <c r="B396" s="11"/>
      <c r="C396" s="11"/>
      <c r="D396" s="11"/>
      <c r="E396" s="11"/>
      <c r="F396" s="11"/>
      <c r="G396" s="11"/>
      <c r="H396" s="11"/>
      <c r="I396" s="11"/>
      <c r="J396" s="11"/>
      <c r="K396" s="11"/>
      <c r="L396" s="15"/>
      <c r="M396" s="15"/>
      <c r="N396" s="15"/>
      <c r="O396" s="15"/>
      <c r="P396" s="15"/>
      <c r="Q396" s="11"/>
      <c r="R396" s="11"/>
      <c r="S396" s="11"/>
      <c r="T396" s="11"/>
      <c r="U396" s="15"/>
      <c r="V396" s="11"/>
      <c r="W396" s="11"/>
      <c r="X396" s="11"/>
      <c r="Y396" s="11"/>
      <c r="Z396" s="11"/>
    </row>
    <row r="397">
      <c r="A397" s="18"/>
      <c r="B397" s="11"/>
      <c r="C397" s="11"/>
      <c r="D397" s="11"/>
      <c r="E397" s="11"/>
      <c r="F397" s="11"/>
      <c r="G397" s="11"/>
      <c r="H397" s="11"/>
      <c r="I397" s="11"/>
      <c r="J397" s="11"/>
      <c r="K397" s="11"/>
      <c r="L397" s="15"/>
      <c r="M397" s="15"/>
      <c r="N397" s="15"/>
      <c r="O397" s="15"/>
      <c r="P397" s="15"/>
      <c r="Q397" s="11"/>
      <c r="R397" s="11"/>
      <c r="S397" s="11"/>
      <c r="T397" s="11"/>
      <c r="U397" s="15"/>
      <c r="V397" s="11"/>
      <c r="W397" s="11"/>
      <c r="X397" s="11"/>
      <c r="Y397" s="11"/>
      <c r="Z397" s="11"/>
    </row>
    <row r="398">
      <c r="A398" s="18"/>
      <c r="B398" s="11"/>
      <c r="C398" s="11"/>
      <c r="D398" s="11"/>
      <c r="E398" s="11"/>
      <c r="F398" s="11"/>
      <c r="G398" s="11"/>
      <c r="H398" s="11"/>
      <c r="I398" s="11"/>
      <c r="J398" s="11"/>
      <c r="K398" s="11"/>
      <c r="L398" s="15"/>
      <c r="M398" s="15"/>
      <c r="N398" s="15"/>
      <c r="O398" s="15"/>
      <c r="P398" s="15"/>
      <c r="Q398" s="11"/>
      <c r="R398" s="11"/>
      <c r="S398" s="11"/>
      <c r="T398" s="11"/>
      <c r="U398" s="15"/>
      <c r="V398" s="11"/>
      <c r="W398" s="11"/>
      <c r="X398" s="11"/>
      <c r="Y398" s="11"/>
      <c r="Z398" s="11"/>
    </row>
    <row r="399">
      <c r="A399" s="18"/>
      <c r="B399" s="11"/>
      <c r="C399" s="11"/>
      <c r="D399" s="11"/>
      <c r="E399" s="11"/>
      <c r="F399" s="11"/>
      <c r="G399" s="11"/>
      <c r="H399" s="11"/>
      <c r="I399" s="11"/>
      <c r="J399" s="11"/>
      <c r="K399" s="11"/>
      <c r="L399" s="15"/>
      <c r="M399" s="15"/>
      <c r="N399" s="15"/>
      <c r="O399" s="15"/>
      <c r="P399" s="15"/>
      <c r="Q399" s="11"/>
      <c r="R399" s="11"/>
      <c r="S399" s="11"/>
      <c r="T399" s="11"/>
      <c r="U399" s="15"/>
      <c r="V399" s="11"/>
      <c r="W399" s="11"/>
      <c r="X399" s="11"/>
      <c r="Y399" s="11"/>
      <c r="Z399" s="11"/>
    </row>
    <row r="400">
      <c r="A400" s="18"/>
      <c r="B400" s="11"/>
      <c r="C400" s="11"/>
      <c r="D400" s="11"/>
      <c r="E400" s="11"/>
      <c r="F400" s="11"/>
      <c r="G400" s="11"/>
      <c r="H400" s="11"/>
      <c r="I400" s="11"/>
      <c r="J400" s="11"/>
      <c r="K400" s="11"/>
      <c r="L400" s="15"/>
      <c r="M400" s="15"/>
      <c r="N400" s="15"/>
      <c r="O400" s="15"/>
      <c r="P400" s="15"/>
      <c r="Q400" s="11"/>
      <c r="R400" s="11"/>
      <c r="S400" s="11"/>
      <c r="T400" s="11"/>
      <c r="U400" s="15"/>
      <c r="V400" s="11"/>
      <c r="W400" s="11"/>
      <c r="X400" s="11"/>
      <c r="Y400" s="11"/>
      <c r="Z400" s="11"/>
    </row>
    <row r="401">
      <c r="A401" s="18"/>
      <c r="B401" s="11"/>
      <c r="C401" s="11"/>
      <c r="D401" s="11"/>
      <c r="E401" s="11"/>
      <c r="F401" s="11"/>
      <c r="G401" s="11"/>
      <c r="H401" s="11"/>
      <c r="I401" s="11"/>
      <c r="J401" s="11"/>
      <c r="K401" s="11"/>
      <c r="L401" s="15"/>
      <c r="M401" s="15"/>
      <c r="N401" s="15"/>
      <c r="O401" s="15"/>
      <c r="P401" s="15"/>
      <c r="Q401" s="11"/>
      <c r="R401" s="11"/>
      <c r="S401" s="11"/>
      <c r="T401" s="11"/>
      <c r="U401" s="15"/>
      <c r="V401" s="11"/>
      <c r="W401" s="11"/>
      <c r="X401" s="11"/>
      <c r="Y401" s="11"/>
      <c r="Z401" s="11"/>
    </row>
    <row r="402">
      <c r="A402" s="18"/>
      <c r="B402" s="11"/>
      <c r="C402" s="11"/>
      <c r="D402" s="11"/>
      <c r="E402" s="11"/>
      <c r="F402" s="11"/>
      <c r="G402" s="11"/>
      <c r="H402" s="11"/>
      <c r="I402" s="11"/>
      <c r="J402" s="11"/>
      <c r="K402" s="11"/>
      <c r="L402" s="15"/>
      <c r="M402" s="15"/>
      <c r="N402" s="15"/>
      <c r="O402" s="15"/>
      <c r="P402" s="15"/>
      <c r="Q402" s="11"/>
      <c r="R402" s="11"/>
      <c r="S402" s="11"/>
      <c r="T402" s="11"/>
      <c r="U402" s="15"/>
      <c r="V402" s="11"/>
      <c r="W402" s="11"/>
      <c r="X402" s="11"/>
      <c r="Y402" s="11"/>
      <c r="Z402" s="11"/>
    </row>
    <row r="403">
      <c r="A403" s="18"/>
      <c r="B403" s="11"/>
      <c r="C403" s="11"/>
      <c r="D403" s="11"/>
      <c r="E403" s="11"/>
      <c r="F403" s="11"/>
      <c r="G403" s="11"/>
      <c r="H403" s="11"/>
      <c r="I403" s="11"/>
      <c r="J403" s="11"/>
      <c r="K403" s="11"/>
      <c r="L403" s="15"/>
      <c r="M403" s="15"/>
      <c r="N403" s="15"/>
      <c r="O403" s="15"/>
      <c r="P403" s="15"/>
      <c r="Q403" s="11"/>
      <c r="R403" s="11"/>
      <c r="S403" s="11"/>
      <c r="T403" s="11"/>
      <c r="U403" s="15"/>
      <c r="V403" s="11"/>
      <c r="W403" s="11"/>
      <c r="X403" s="11"/>
      <c r="Y403" s="11"/>
      <c r="Z403" s="11"/>
    </row>
    <row r="404">
      <c r="A404" s="18"/>
      <c r="B404" s="11"/>
      <c r="C404" s="11"/>
      <c r="D404" s="11"/>
      <c r="E404" s="11"/>
      <c r="F404" s="11"/>
      <c r="G404" s="11"/>
      <c r="H404" s="11"/>
      <c r="I404" s="11"/>
      <c r="J404" s="11"/>
      <c r="K404" s="11"/>
      <c r="L404" s="15"/>
      <c r="M404" s="15"/>
      <c r="N404" s="15"/>
      <c r="O404" s="15"/>
      <c r="P404" s="15"/>
      <c r="Q404" s="11"/>
      <c r="R404" s="11"/>
      <c r="S404" s="11"/>
      <c r="T404" s="11"/>
      <c r="U404" s="15"/>
      <c r="V404" s="11"/>
      <c r="W404" s="11"/>
      <c r="X404" s="11"/>
      <c r="Y404" s="11"/>
      <c r="Z404" s="11"/>
    </row>
    <row r="405">
      <c r="A405" s="18"/>
      <c r="B405" s="11"/>
      <c r="C405" s="11"/>
      <c r="D405" s="11"/>
      <c r="E405" s="11"/>
      <c r="F405" s="11"/>
      <c r="G405" s="11"/>
      <c r="H405" s="11"/>
      <c r="I405" s="11"/>
      <c r="J405" s="11"/>
      <c r="K405" s="11"/>
      <c r="L405" s="15"/>
      <c r="M405" s="15"/>
      <c r="N405" s="15"/>
      <c r="O405" s="15"/>
      <c r="P405" s="15"/>
      <c r="Q405" s="11"/>
      <c r="R405" s="11"/>
      <c r="S405" s="11"/>
      <c r="T405" s="11"/>
      <c r="U405" s="15"/>
      <c r="V405" s="11"/>
      <c r="W405" s="11"/>
      <c r="X405" s="11"/>
      <c r="Y405" s="11"/>
      <c r="Z405" s="11"/>
    </row>
    <row r="406">
      <c r="A406" s="18"/>
      <c r="B406" s="11"/>
      <c r="C406" s="11"/>
      <c r="D406" s="11"/>
      <c r="E406" s="11"/>
      <c r="F406" s="11"/>
      <c r="G406" s="11"/>
      <c r="H406" s="11"/>
      <c r="I406" s="11"/>
      <c r="J406" s="11"/>
      <c r="K406" s="11"/>
      <c r="L406" s="15"/>
      <c r="M406" s="15"/>
      <c r="N406" s="15"/>
      <c r="O406" s="15"/>
      <c r="P406" s="15"/>
      <c r="Q406" s="11"/>
      <c r="R406" s="11"/>
      <c r="S406" s="11"/>
      <c r="T406" s="11"/>
      <c r="U406" s="15"/>
      <c r="V406" s="11"/>
      <c r="W406" s="11"/>
      <c r="X406" s="11"/>
      <c r="Y406" s="11"/>
      <c r="Z406" s="11"/>
    </row>
    <row r="407">
      <c r="A407" s="18"/>
      <c r="B407" s="11"/>
      <c r="C407" s="11"/>
      <c r="D407" s="11"/>
      <c r="E407" s="11"/>
      <c r="F407" s="11"/>
      <c r="G407" s="11"/>
      <c r="H407" s="11"/>
      <c r="I407" s="11"/>
      <c r="J407" s="11"/>
      <c r="K407" s="11"/>
      <c r="L407" s="15"/>
      <c r="M407" s="15"/>
      <c r="N407" s="15"/>
      <c r="O407" s="15"/>
      <c r="P407" s="15"/>
      <c r="Q407" s="11"/>
      <c r="R407" s="11"/>
      <c r="S407" s="11"/>
      <c r="T407" s="11"/>
      <c r="U407" s="15"/>
      <c r="V407" s="11"/>
      <c r="W407" s="11"/>
      <c r="X407" s="11"/>
      <c r="Y407" s="11"/>
      <c r="Z407" s="11"/>
    </row>
    <row r="408">
      <c r="A408" s="18"/>
      <c r="B408" s="11"/>
      <c r="C408" s="11"/>
      <c r="D408" s="11"/>
      <c r="E408" s="11"/>
      <c r="F408" s="11"/>
      <c r="G408" s="11"/>
      <c r="H408" s="11"/>
      <c r="I408" s="11"/>
      <c r="J408" s="11"/>
      <c r="K408" s="11"/>
      <c r="L408" s="15"/>
      <c r="M408" s="15"/>
      <c r="N408" s="15"/>
      <c r="O408" s="15"/>
      <c r="P408" s="15"/>
      <c r="Q408" s="11"/>
      <c r="R408" s="11"/>
      <c r="S408" s="11"/>
      <c r="T408" s="11"/>
      <c r="U408" s="15"/>
      <c r="V408" s="11"/>
      <c r="W408" s="11"/>
      <c r="X408" s="11"/>
      <c r="Y408" s="11"/>
      <c r="Z408" s="11"/>
    </row>
    <row r="409">
      <c r="A409" s="18"/>
      <c r="B409" s="11"/>
      <c r="C409" s="11"/>
      <c r="D409" s="11"/>
      <c r="E409" s="11"/>
      <c r="F409" s="11"/>
      <c r="G409" s="11"/>
      <c r="H409" s="11"/>
      <c r="I409" s="11"/>
      <c r="J409" s="11"/>
      <c r="K409" s="11"/>
      <c r="L409" s="15"/>
      <c r="M409" s="15"/>
      <c r="N409" s="15"/>
      <c r="O409" s="15"/>
      <c r="P409" s="15"/>
      <c r="Q409" s="11"/>
      <c r="R409" s="11"/>
      <c r="S409" s="11"/>
      <c r="T409" s="11"/>
      <c r="U409" s="15"/>
      <c r="V409" s="11"/>
      <c r="W409" s="11"/>
      <c r="X409" s="11"/>
      <c r="Y409" s="11"/>
      <c r="Z409" s="11"/>
    </row>
    <row r="410">
      <c r="A410" s="18"/>
      <c r="B410" s="11"/>
      <c r="C410" s="11"/>
      <c r="D410" s="11"/>
      <c r="E410" s="11"/>
      <c r="F410" s="11"/>
      <c r="G410" s="11"/>
      <c r="H410" s="11"/>
      <c r="I410" s="11"/>
      <c r="J410" s="11"/>
      <c r="K410" s="11"/>
      <c r="L410" s="15"/>
      <c r="M410" s="15"/>
      <c r="N410" s="15"/>
      <c r="O410" s="15"/>
      <c r="P410" s="15"/>
      <c r="Q410" s="11"/>
      <c r="R410" s="11"/>
      <c r="S410" s="11"/>
      <c r="T410" s="11"/>
      <c r="U410" s="15"/>
      <c r="V410" s="11"/>
      <c r="W410" s="11"/>
      <c r="X410" s="11"/>
      <c r="Y410" s="11"/>
      <c r="Z410" s="11"/>
    </row>
    <row r="411">
      <c r="A411" s="18"/>
      <c r="B411" s="11"/>
      <c r="C411" s="11"/>
      <c r="D411" s="11"/>
      <c r="E411" s="11"/>
      <c r="F411" s="11"/>
      <c r="G411" s="11"/>
      <c r="H411" s="11"/>
      <c r="I411" s="11"/>
      <c r="J411" s="11"/>
      <c r="K411" s="11"/>
      <c r="L411" s="15"/>
      <c r="M411" s="15"/>
      <c r="N411" s="15"/>
      <c r="O411" s="15"/>
      <c r="P411" s="15"/>
      <c r="Q411" s="11"/>
      <c r="R411" s="11"/>
      <c r="S411" s="11"/>
      <c r="T411" s="11"/>
      <c r="U411" s="15"/>
      <c r="V411" s="11"/>
      <c r="W411" s="11"/>
      <c r="X411" s="11"/>
      <c r="Y411" s="11"/>
      <c r="Z411" s="11"/>
    </row>
    <row r="412">
      <c r="A412" s="18"/>
      <c r="B412" s="11"/>
      <c r="C412" s="11"/>
      <c r="D412" s="11"/>
      <c r="E412" s="11"/>
      <c r="F412" s="11"/>
      <c r="G412" s="11"/>
      <c r="H412" s="11"/>
      <c r="I412" s="11"/>
      <c r="J412" s="11"/>
      <c r="K412" s="11"/>
      <c r="L412" s="15"/>
      <c r="M412" s="15"/>
      <c r="N412" s="15"/>
      <c r="O412" s="15"/>
      <c r="P412" s="15"/>
      <c r="Q412" s="11"/>
      <c r="R412" s="11"/>
      <c r="S412" s="11"/>
      <c r="T412" s="11"/>
      <c r="U412" s="15"/>
      <c r="V412" s="11"/>
      <c r="W412" s="11"/>
      <c r="X412" s="11"/>
      <c r="Y412" s="11"/>
      <c r="Z412" s="11"/>
    </row>
    <row r="413">
      <c r="A413" s="18"/>
      <c r="B413" s="11"/>
      <c r="C413" s="11"/>
      <c r="D413" s="11"/>
      <c r="E413" s="11"/>
      <c r="F413" s="11"/>
      <c r="G413" s="11"/>
      <c r="H413" s="11"/>
      <c r="I413" s="11"/>
      <c r="J413" s="11"/>
      <c r="K413" s="11"/>
      <c r="L413" s="15"/>
      <c r="M413" s="15"/>
      <c r="N413" s="15"/>
      <c r="O413" s="15"/>
      <c r="P413" s="15"/>
      <c r="Q413" s="11"/>
      <c r="R413" s="11"/>
      <c r="S413" s="11"/>
      <c r="T413" s="11"/>
      <c r="U413" s="15"/>
      <c r="V413" s="11"/>
      <c r="W413" s="11"/>
      <c r="X413" s="11"/>
      <c r="Y413" s="11"/>
      <c r="Z413" s="11"/>
    </row>
    <row r="414">
      <c r="A414" s="18"/>
      <c r="B414" s="11"/>
      <c r="C414" s="11"/>
      <c r="D414" s="11"/>
      <c r="E414" s="11"/>
      <c r="F414" s="11"/>
      <c r="G414" s="11"/>
      <c r="H414" s="11"/>
      <c r="I414" s="11"/>
      <c r="J414" s="11"/>
      <c r="K414" s="11"/>
      <c r="L414" s="15"/>
      <c r="M414" s="15"/>
      <c r="N414" s="15"/>
      <c r="O414" s="15"/>
      <c r="P414" s="15"/>
      <c r="Q414" s="11"/>
      <c r="R414" s="11"/>
      <c r="S414" s="11"/>
      <c r="T414" s="11"/>
      <c r="U414" s="15"/>
      <c r="V414" s="11"/>
      <c r="W414" s="11"/>
      <c r="X414" s="11"/>
      <c r="Y414" s="11"/>
      <c r="Z414" s="11"/>
    </row>
    <row r="415">
      <c r="A415" s="18"/>
      <c r="B415" s="11"/>
      <c r="C415" s="11"/>
      <c r="D415" s="11"/>
      <c r="E415" s="11"/>
      <c r="F415" s="11"/>
      <c r="G415" s="11"/>
      <c r="H415" s="11"/>
      <c r="I415" s="11"/>
      <c r="J415" s="11"/>
      <c r="K415" s="11"/>
      <c r="L415" s="15"/>
      <c r="M415" s="15"/>
      <c r="N415" s="15"/>
      <c r="O415" s="15"/>
      <c r="P415" s="15"/>
      <c r="Q415" s="11"/>
      <c r="R415" s="11"/>
      <c r="S415" s="11"/>
      <c r="T415" s="11"/>
      <c r="U415" s="15"/>
      <c r="V415" s="11"/>
      <c r="W415" s="11"/>
      <c r="X415" s="11"/>
      <c r="Y415" s="11"/>
      <c r="Z415" s="11"/>
    </row>
    <row r="416">
      <c r="A416" s="18"/>
      <c r="B416" s="11"/>
      <c r="C416" s="11"/>
      <c r="D416" s="11"/>
      <c r="E416" s="11"/>
      <c r="F416" s="11"/>
      <c r="G416" s="11"/>
      <c r="H416" s="11"/>
      <c r="I416" s="11"/>
      <c r="J416" s="11"/>
      <c r="K416" s="11"/>
      <c r="L416" s="15"/>
      <c r="M416" s="15"/>
      <c r="N416" s="15"/>
      <c r="O416" s="15"/>
      <c r="P416" s="15"/>
      <c r="Q416" s="11"/>
      <c r="R416" s="11"/>
      <c r="S416" s="11"/>
      <c r="T416" s="11"/>
      <c r="U416" s="15"/>
      <c r="V416" s="11"/>
      <c r="W416" s="11"/>
      <c r="X416" s="11"/>
      <c r="Y416" s="11"/>
      <c r="Z416" s="11"/>
    </row>
    <row r="417">
      <c r="A417" s="18"/>
      <c r="B417" s="11"/>
      <c r="C417" s="11"/>
      <c r="D417" s="11"/>
      <c r="E417" s="11"/>
      <c r="F417" s="11"/>
      <c r="G417" s="11"/>
      <c r="H417" s="11"/>
      <c r="I417" s="11"/>
      <c r="J417" s="11"/>
      <c r="K417" s="11"/>
      <c r="L417" s="15"/>
      <c r="M417" s="15"/>
      <c r="N417" s="15"/>
      <c r="O417" s="15"/>
      <c r="P417" s="15"/>
      <c r="Q417" s="11"/>
      <c r="R417" s="11"/>
      <c r="S417" s="11"/>
      <c r="T417" s="11"/>
      <c r="U417" s="15"/>
      <c r="V417" s="11"/>
      <c r="W417" s="11"/>
      <c r="X417" s="11"/>
      <c r="Y417" s="11"/>
      <c r="Z417" s="11"/>
    </row>
    <row r="418">
      <c r="A418" s="18"/>
      <c r="B418" s="11"/>
      <c r="C418" s="11"/>
      <c r="D418" s="11"/>
      <c r="E418" s="11"/>
      <c r="F418" s="11"/>
      <c r="G418" s="11"/>
      <c r="H418" s="11"/>
      <c r="I418" s="11"/>
      <c r="J418" s="11"/>
      <c r="K418" s="11"/>
      <c r="L418" s="15"/>
      <c r="M418" s="15"/>
      <c r="N418" s="15"/>
      <c r="O418" s="15"/>
      <c r="P418" s="15"/>
      <c r="Q418" s="11"/>
      <c r="R418" s="11"/>
      <c r="S418" s="11"/>
      <c r="T418" s="11"/>
      <c r="U418" s="15"/>
      <c r="V418" s="11"/>
      <c r="W418" s="11"/>
      <c r="X418" s="11"/>
      <c r="Y418" s="11"/>
      <c r="Z418" s="11"/>
    </row>
    <row r="419">
      <c r="A419" s="18"/>
      <c r="B419" s="11"/>
      <c r="C419" s="11"/>
      <c r="D419" s="11"/>
      <c r="E419" s="11"/>
      <c r="F419" s="11"/>
      <c r="G419" s="11"/>
      <c r="H419" s="11"/>
      <c r="I419" s="11"/>
      <c r="J419" s="11"/>
      <c r="K419" s="11"/>
      <c r="L419" s="15"/>
      <c r="M419" s="15"/>
      <c r="N419" s="15"/>
      <c r="O419" s="15"/>
      <c r="P419" s="15"/>
      <c r="Q419" s="11"/>
      <c r="R419" s="11"/>
      <c r="S419" s="11"/>
      <c r="T419" s="11"/>
      <c r="U419" s="15"/>
      <c r="V419" s="11"/>
      <c r="W419" s="11"/>
      <c r="X419" s="11"/>
      <c r="Y419" s="11"/>
      <c r="Z419" s="11"/>
    </row>
    <row r="420">
      <c r="A420" s="18"/>
      <c r="B420" s="11"/>
      <c r="C420" s="11"/>
      <c r="D420" s="11"/>
      <c r="E420" s="11"/>
      <c r="F420" s="11"/>
      <c r="G420" s="11"/>
      <c r="H420" s="11"/>
      <c r="I420" s="11"/>
      <c r="J420" s="11"/>
      <c r="K420" s="11"/>
      <c r="L420" s="15"/>
      <c r="M420" s="15"/>
      <c r="N420" s="15"/>
      <c r="O420" s="15"/>
      <c r="P420" s="15"/>
      <c r="Q420" s="11"/>
      <c r="R420" s="11"/>
      <c r="S420" s="11"/>
      <c r="T420" s="11"/>
      <c r="U420" s="15"/>
      <c r="V420" s="11"/>
      <c r="W420" s="11"/>
      <c r="X420" s="11"/>
      <c r="Y420" s="11"/>
      <c r="Z420" s="11"/>
    </row>
    <row r="421">
      <c r="A421" s="18"/>
      <c r="B421" s="11"/>
      <c r="C421" s="11"/>
      <c r="D421" s="11"/>
      <c r="E421" s="11"/>
      <c r="F421" s="11"/>
      <c r="G421" s="11"/>
      <c r="H421" s="11"/>
      <c r="I421" s="11"/>
      <c r="J421" s="11"/>
      <c r="K421" s="11"/>
      <c r="L421" s="15"/>
      <c r="M421" s="15"/>
      <c r="N421" s="15"/>
      <c r="O421" s="15"/>
      <c r="P421" s="15"/>
      <c r="Q421" s="11"/>
      <c r="R421" s="11"/>
      <c r="S421" s="11"/>
      <c r="T421" s="11"/>
      <c r="U421" s="15"/>
      <c r="V421" s="11"/>
      <c r="W421" s="11"/>
      <c r="X421" s="11"/>
      <c r="Y421" s="11"/>
      <c r="Z421" s="11"/>
    </row>
    <row r="422">
      <c r="A422" s="18"/>
      <c r="B422" s="11"/>
      <c r="C422" s="11"/>
      <c r="D422" s="11"/>
      <c r="E422" s="11"/>
      <c r="F422" s="11"/>
      <c r="G422" s="11"/>
      <c r="H422" s="11"/>
      <c r="I422" s="11"/>
      <c r="J422" s="11"/>
      <c r="K422" s="11"/>
      <c r="L422" s="15"/>
      <c r="M422" s="15"/>
      <c r="N422" s="15"/>
      <c r="O422" s="15"/>
      <c r="P422" s="15"/>
      <c r="Q422" s="11"/>
      <c r="R422" s="11"/>
      <c r="S422" s="11"/>
      <c r="T422" s="11"/>
      <c r="U422" s="15"/>
      <c r="V422" s="11"/>
      <c r="W422" s="11"/>
      <c r="X422" s="11"/>
      <c r="Y422" s="11"/>
      <c r="Z422" s="11"/>
    </row>
    <row r="423">
      <c r="A423" s="18"/>
      <c r="B423" s="11"/>
      <c r="C423" s="11"/>
      <c r="D423" s="11"/>
      <c r="E423" s="11"/>
      <c r="F423" s="11"/>
      <c r="G423" s="11"/>
      <c r="H423" s="11"/>
      <c r="I423" s="11"/>
      <c r="J423" s="11"/>
      <c r="K423" s="11"/>
      <c r="L423" s="15"/>
      <c r="M423" s="15"/>
      <c r="N423" s="15"/>
      <c r="O423" s="15"/>
      <c r="P423" s="15"/>
      <c r="Q423" s="11"/>
      <c r="R423" s="11"/>
      <c r="S423" s="11"/>
      <c r="T423" s="11"/>
      <c r="U423" s="15"/>
      <c r="V423" s="11"/>
      <c r="W423" s="11"/>
      <c r="X423" s="11"/>
      <c r="Y423" s="11"/>
      <c r="Z423" s="11"/>
    </row>
    <row r="424">
      <c r="A424" s="18"/>
      <c r="B424" s="11"/>
      <c r="C424" s="11"/>
      <c r="D424" s="11"/>
      <c r="E424" s="11"/>
      <c r="F424" s="11"/>
      <c r="G424" s="11"/>
      <c r="H424" s="11"/>
      <c r="I424" s="11"/>
      <c r="J424" s="11"/>
      <c r="K424" s="11"/>
      <c r="L424" s="15"/>
      <c r="M424" s="15"/>
      <c r="N424" s="15"/>
      <c r="O424" s="15"/>
      <c r="P424" s="15"/>
      <c r="Q424" s="11"/>
      <c r="R424" s="11"/>
      <c r="S424" s="11"/>
      <c r="T424" s="11"/>
      <c r="U424" s="15"/>
      <c r="V424" s="11"/>
      <c r="W424" s="11"/>
      <c r="X424" s="11"/>
      <c r="Y424" s="11"/>
      <c r="Z424" s="11"/>
    </row>
    <row r="425">
      <c r="A425" s="18"/>
      <c r="B425" s="11"/>
      <c r="C425" s="11"/>
      <c r="D425" s="11"/>
      <c r="E425" s="11"/>
      <c r="F425" s="11"/>
      <c r="G425" s="11"/>
      <c r="H425" s="11"/>
      <c r="I425" s="11"/>
      <c r="J425" s="11"/>
      <c r="K425" s="11"/>
      <c r="L425" s="15"/>
      <c r="M425" s="15"/>
      <c r="N425" s="15"/>
      <c r="O425" s="15"/>
      <c r="P425" s="15"/>
      <c r="Q425" s="11"/>
      <c r="R425" s="11"/>
      <c r="S425" s="11"/>
      <c r="T425" s="11"/>
      <c r="U425" s="15"/>
      <c r="V425" s="11"/>
      <c r="W425" s="11"/>
      <c r="X425" s="11"/>
      <c r="Y425" s="11"/>
      <c r="Z425" s="11"/>
    </row>
    <row r="426">
      <c r="A426" s="18"/>
      <c r="B426" s="11"/>
      <c r="C426" s="11"/>
      <c r="D426" s="11"/>
      <c r="E426" s="11"/>
      <c r="F426" s="11"/>
      <c r="G426" s="11"/>
      <c r="H426" s="11"/>
      <c r="I426" s="11"/>
      <c r="J426" s="11"/>
      <c r="K426" s="11"/>
      <c r="L426" s="15"/>
      <c r="M426" s="15"/>
      <c r="N426" s="15"/>
      <c r="O426" s="15"/>
      <c r="P426" s="15"/>
      <c r="Q426" s="11"/>
      <c r="R426" s="11"/>
      <c r="S426" s="11"/>
      <c r="T426" s="11"/>
      <c r="U426" s="15"/>
      <c r="V426" s="11"/>
      <c r="W426" s="11"/>
      <c r="X426" s="11"/>
      <c r="Y426" s="11"/>
      <c r="Z426" s="11"/>
    </row>
    <row r="427">
      <c r="A427" s="18"/>
      <c r="B427" s="11"/>
      <c r="C427" s="11"/>
      <c r="D427" s="11"/>
      <c r="E427" s="11"/>
      <c r="F427" s="11"/>
      <c r="G427" s="11"/>
      <c r="H427" s="11"/>
      <c r="I427" s="11"/>
      <c r="J427" s="11"/>
      <c r="K427" s="11"/>
      <c r="L427" s="15"/>
      <c r="M427" s="15"/>
      <c r="N427" s="15"/>
      <c r="O427" s="15"/>
      <c r="P427" s="15"/>
      <c r="Q427" s="11"/>
      <c r="R427" s="11"/>
      <c r="S427" s="11"/>
      <c r="T427" s="11"/>
      <c r="U427" s="15"/>
      <c r="V427" s="11"/>
      <c r="W427" s="11"/>
      <c r="X427" s="11"/>
      <c r="Y427" s="11"/>
      <c r="Z427" s="11"/>
    </row>
    <row r="428">
      <c r="A428" s="18"/>
      <c r="B428" s="11"/>
      <c r="C428" s="11"/>
      <c r="D428" s="11"/>
      <c r="E428" s="11"/>
      <c r="F428" s="11"/>
      <c r="G428" s="11"/>
      <c r="H428" s="11"/>
      <c r="I428" s="11"/>
      <c r="J428" s="11"/>
      <c r="K428" s="11"/>
      <c r="L428" s="15"/>
      <c r="M428" s="15"/>
      <c r="N428" s="15"/>
      <c r="O428" s="15"/>
      <c r="P428" s="15"/>
      <c r="Q428" s="11"/>
      <c r="R428" s="11"/>
      <c r="S428" s="11"/>
      <c r="T428" s="11"/>
      <c r="U428" s="15"/>
      <c r="V428" s="11"/>
      <c r="W428" s="11"/>
      <c r="X428" s="11"/>
      <c r="Y428" s="11"/>
      <c r="Z428" s="11"/>
    </row>
    <row r="429">
      <c r="A429" s="18"/>
      <c r="B429" s="11"/>
      <c r="C429" s="11"/>
      <c r="D429" s="11"/>
      <c r="E429" s="11"/>
      <c r="F429" s="11"/>
      <c r="G429" s="11"/>
      <c r="H429" s="11"/>
      <c r="I429" s="11"/>
      <c r="J429" s="11"/>
      <c r="K429" s="11"/>
      <c r="L429" s="15"/>
      <c r="M429" s="15"/>
      <c r="N429" s="15"/>
      <c r="O429" s="15"/>
      <c r="P429" s="15"/>
      <c r="Q429" s="11"/>
      <c r="R429" s="11"/>
      <c r="S429" s="11"/>
      <c r="T429" s="11"/>
      <c r="U429" s="15"/>
      <c r="V429" s="11"/>
      <c r="W429" s="11"/>
      <c r="X429" s="11"/>
      <c r="Y429" s="11"/>
      <c r="Z429" s="11"/>
    </row>
    <row r="430">
      <c r="A430" s="18"/>
      <c r="B430" s="11"/>
      <c r="C430" s="11"/>
      <c r="D430" s="11"/>
      <c r="E430" s="11"/>
      <c r="F430" s="11"/>
      <c r="G430" s="11"/>
      <c r="H430" s="11"/>
      <c r="I430" s="11"/>
      <c r="J430" s="11"/>
      <c r="K430" s="11"/>
      <c r="L430" s="15"/>
      <c r="M430" s="15"/>
      <c r="N430" s="15"/>
      <c r="O430" s="15"/>
      <c r="P430" s="15"/>
      <c r="Q430" s="11"/>
      <c r="R430" s="11"/>
      <c r="S430" s="11"/>
      <c r="T430" s="11"/>
      <c r="U430" s="15"/>
      <c r="V430" s="11"/>
      <c r="W430" s="11"/>
      <c r="X430" s="11"/>
      <c r="Y430" s="11"/>
      <c r="Z430" s="11"/>
    </row>
    <row r="431">
      <c r="A431" s="18"/>
      <c r="B431" s="11"/>
      <c r="C431" s="11"/>
      <c r="D431" s="11"/>
      <c r="E431" s="11"/>
      <c r="F431" s="11"/>
      <c r="G431" s="11"/>
      <c r="H431" s="11"/>
      <c r="I431" s="11"/>
      <c r="J431" s="11"/>
      <c r="K431" s="11"/>
      <c r="L431" s="15"/>
      <c r="M431" s="15"/>
      <c r="N431" s="15"/>
      <c r="O431" s="15"/>
      <c r="P431" s="15"/>
      <c r="Q431" s="11"/>
      <c r="R431" s="11"/>
      <c r="S431" s="11"/>
      <c r="T431" s="11"/>
      <c r="U431" s="15"/>
      <c r="V431" s="11"/>
      <c r="W431" s="11"/>
      <c r="X431" s="11"/>
      <c r="Y431" s="11"/>
      <c r="Z431" s="11"/>
    </row>
    <row r="432">
      <c r="A432" s="18"/>
      <c r="B432" s="11"/>
      <c r="C432" s="11"/>
      <c r="D432" s="11"/>
      <c r="E432" s="11"/>
      <c r="F432" s="11"/>
      <c r="G432" s="11"/>
      <c r="H432" s="11"/>
      <c r="I432" s="11"/>
      <c r="J432" s="11"/>
      <c r="K432" s="11"/>
      <c r="L432" s="15"/>
      <c r="M432" s="15"/>
      <c r="N432" s="15"/>
      <c r="O432" s="15"/>
      <c r="P432" s="15"/>
      <c r="Q432" s="11"/>
      <c r="R432" s="11"/>
      <c r="S432" s="11"/>
      <c r="T432" s="11"/>
      <c r="U432" s="15"/>
      <c r="V432" s="11"/>
      <c r="W432" s="11"/>
      <c r="X432" s="11"/>
      <c r="Y432" s="11"/>
      <c r="Z432" s="11"/>
    </row>
    <row r="433">
      <c r="A433" s="18"/>
      <c r="B433" s="11"/>
      <c r="C433" s="11"/>
      <c r="D433" s="11"/>
      <c r="E433" s="11"/>
      <c r="F433" s="11"/>
      <c r="G433" s="11"/>
      <c r="H433" s="11"/>
      <c r="I433" s="11"/>
      <c r="J433" s="11"/>
      <c r="K433" s="11"/>
      <c r="L433" s="15"/>
      <c r="M433" s="15"/>
      <c r="N433" s="15"/>
      <c r="O433" s="15"/>
      <c r="P433" s="15"/>
      <c r="Q433" s="11"/>
      <c r="R433" s="11"/>
      <c r="S433" s="11"/>
      <c r="T433" s="11"/>
      <c r="U433" s="15"/>
      <c r="V433" s="11"/>
      <c r="W433" s="11"/>
      <c r="X433" s="11"/>
      <c r="Y433" s="11"/>
      <c r="Z433" s="11"/>
    </row>
    <row r="434">
      <c r="A434" s="18"/>
      <c r="B434" s="11"/>
      <c r="C434" s="11"/>
      <c r="D434" s="11"/>
      <c r="E434" s="11"/>
      <c r="F434" s="11"/>
      <c r="G434" s="11"/>
      <c r="H434" s="11"/>
      <c r="I434" s="11"/>
      <c r="J434" s="11"/>
      <c r="K434" s="11"/>
      <c r="L434" s="15"/>
      <c r="M434" s="15"/>
      <c r="N434" s="15"/>
      <c r="O434" s="15"/>
      <c r="P434" s="15"/>
      <c r="Q434" s="11"/>
      <c r="R434" s="11"/>
      <c r="S434" s="11"/>
      <c r="T434" s="11"/>
      <c r="U434" s="15"/>
      <c r="V434" s="11"/>
      <c r="W434" s="11"/>
      <c r="X434" s="11"/>
      <c r="Y434" s="11"/>
      <c r="Z434" s="11"/>
    </row>
    <row r="435">
      <c r="A435" s="18"/>
      <c r="B435" s="11"/>
      <c r="C435" s="11"/>
      <c r="D435" s="11"/>
      <c r="E435" s="11"/>
      <c r="F435" s="11"/>
      <c r="G435" s="11"/>
      <c r="H435" s="11"/>
      <c r="I435" s="11"/>
      <c r="J435" s="11"/>
      <c r="K435" s="11"/>
      <c r="L435" s="15"/>
      <c r="M435" s="15"/>
      <c r="N435" s="15"/>
      <c r="O435" s="15"/>
      <c r="P435" s="15"/>
      <c r="Q435" s="11"/>
      <c r="R435" s="11"/>
      <c r="S435" s="11"/>
      <c r="T435" s="11"/>
      <c r="U435" s="15"/>
      <c r="V435" s="11"/>
      <c r="W435" s="11"/>
      <c r="X435" s="11"/>
      <c r="Y435" s="11"/>
      <c r="Z435" s="11"/>
    </row>
    <row r="436">
      <c r="A436" s="18"/>
      <c r="B436" s="11"/>
      <c r="C436" s="11"/>
      <c r="D436" s="11"/>
      <c r="E436" s="11"/>
      <c r="F436" s="11"/>
      <c r="G436" s="11"/>
      <c r="H436" s="11"/>
      <c r="I436" s="11"/>
      <c r="J436" s="11"/>
      <c r="K436" s="11"/>
      <c r="L436" s="15"/>
      <c r="M436" s="15"/>
      <c r="N436" s="15"/>
      <c r="O436" s="15"/>
      <c r="P436" s="15"/>
      <c r="Q436" s="11"/>
      <c r="R436" s="11"/>
      <c r="S436" s="11"/>
      <c r="T436" s="11"/>
      <c r="U436" s="15"/>
      <c r="V436" s="11"/>
      <c r="W436" s="11"/>
      <c r="X436" s="11"/>
      <c r="Y436" s="11"/>
      <c r="Z436" s="11"/>
    </row>
    <row r="437">
      <c r="A437" s="18"/>
      <c r="B437" s="11"/>
      <c r="C437" s="11"/>
      <c r="D437" s="11"/>
      <c r="E437" s="11"/>
      <c r="F437" s="11"/>
      <c r="G437" s="11"/>
      <c r="H437" s="11"/>
      <c r="I437" s="11"/>
      <c r="J437" s="11"/>
      <c r="K437" s="11"/>
      <c r="L437" s="15"/>
      <c r="M437" s="15"/>
      <c r="N437" s="15"/>
      <c r="O437" s="15"/>
      <c r="P437" s="15"/>
      <c r="Q437" s="11"/>
      <c r="R437" s="11"/>
      <c r="S437" s="11"/>
      <c r="T437" s="11"/>
      <c r="U437" s="15"/>
      <c r="V437" s="11"/>
      <c r="W437" s="11"/>
      <c r="X437" s="11"/>
      <c r="Y437" s="11"/>
      <c r="Z437" s="11"/>
    </row>
    <row r="438">
      <c r="A438" s="18"/>
      <c r="B438" s="11"/>
      <c r="C438" s="11"/>
      <c r="D438" s="11"/>
      <c r="E438" s="11"/>
      <c r="F438" s="11"/>
      <c r="G438" s="11"/>
      <c r="H438" s="11"/>
      <c r="I438" s="11"/>
      <c r="J438" s="11"/>
      <c r="K438" s="11"/>
      <c r="L438" s="15"/>
      <c r="M438" s="15"/>
      <c r="N438" s="15"/>
      <c r="O438" s="15"/>
      <c r="P438" s="15"/>
      <c r="Q438" s="11"/>
      <c r="R438" s="11"/>
      <c r="S438" s="11"/>
      <c r="T438" s="11"/>
      <c r="U438" s="15"/>
      <c r="V438" s="11"/>
      <c r="W438" s="11"/>
      <c r="X438" s="11"/>
      <c r="Y438" s="11"/>
      <c r="Z438" s="11"/>
    </row>
    <row r="439">
      <c r="A439" s="18"/>
      <c r="B439" s="11"/>
      <c r="C439" s="11"/>
      <c r="D439" s="11"/>
      <c r="E439" s="11"/>
      <c r="F439" s="11"/>
      <c r="G439" s="11"/>
      <c r="H439" s="11"/>
      <c r="I439" s="11"/>
      <c r="J439" s="11"/>
      <c r="K439" s="11"/>
      <c r="L439" s="15"/>
      <c r="M439" s="15"/>
      <c r="N439" s="15"/>
      <c r="O439" s="15"/>
      <c r="P439" s="15"/>
      <c r="Q439" s="11"/>
      <c r="R439" s="11"/>
      <c r="S439" s="11"/>
      <c r="T439" s="11"/>
      <c r="U439" s="15"/>
      <c r="V439" s="11"/>
      <c r="W439" s="11"/>
      <c r="X439" s="11"/>
      <c r="Y439" s="11"/>
      <c r="Z439" s="11"/>
    </row>
    <row r="440">
      <c r="A440" s="18"/>
      <c r="B440" s="11"/>
      <c r="C440" s="11"/>
      <c r="D440" s="11"/>
      <c r="E440" s="11"/>
      <c r="F440" s="11"/>
      <c r="G440" s="11"/>
      <c r="H440" s="11"/>
      <c r="I440" s="11"/>
      <c r="J440" s="11"/>
      <c r="K440" s="11"/>
      <c r="L440" s="15"/>
      <c r="M440" s="15"/>
      <c r="N440" s="15"/>
      <c r="O440" s="15"/>
      <c r="P440" s="15"/>
      <c r="Q440" s="11"/>
      <c r="R440" s="11"/>
      <c r="S440" s="11"/>
      <c r="T440" s="11"/>
      <c r="U440" s="15"/>
      <c r="V440" s="11"/>
      <c r="W440" s="11"/>
      <c r="X440" s="11"/>
      <c r="Y440" s="11"/>
      <c r="Z440" s="11"/>
    </row>
    <row r="441">
      <c r="A441" s="18"/>
      <c r="B441" s="11"/>
      <c r="C441" s="11"/>
      <c r="D441" s="11"/>
      <c r="E441" s="11"/>
      <c r="F441" s="11"/>
      <c r="G441" s="11"/>
      <c r="H441" s="11"/>
      <c r="I441" s="11"/>
      <c r="J441" s="11"/>
      <c r="K441" s="11"/>
      <c r="L441" s="15"/>
      <c r="M441" s="15"/>
      <c r="N441" s="15"/>
      <c r="O441" s="15"/>
      <c r="P441" s="15"/>
      <c r="Q441" s="11"/>
      <c r="R441" s="11"/>
      <c r="S441" s="11"/>
      <c r="T441" s="11"/>
      <c r="U441" s="15"/>
      <c r="V441" s="11"/>
      <c r="W441" s="11"/>
      <c r="X441" s="11"/>
      <c r="Y441" s="11"/>
      <c r="Z441" s="11"/>
    </row>
    <row r="442">
      <c r="A442" s="18"/>
      <c r="B442" s="11"/>
      <c r="C442" s="11"/>
      <c r="D442" s="11"/>
      <c r="E442" s="11"/>
      <c r="F442" s="11"/>
      <c r="G442" s="11"/>
      <c r="H442" s="11"/>
      <c r="I442" s="11"/>
      <c r="J442" s="11"/>
      <c r="K442" s="11"/>
      <c r="L442" s="15"/>
      <c r="M442" s="15"/>
      <c r="N442" s="15"/>
      <c r="O442" s="15"/>
      <c r="P442" s="15"/>
      <c r="Q442" s="11"/>
      <c r="R442" s="11"/>
      <c r="S442" s="11"/>
      <c r="T442" s="11"/>
      <c r="U442" s="15"/>
      <c r="V442" s="11"/>
      <c r="W442" s="11"/>
      <c r="X442" s="11"/>
      <c r="Y442" s="11"/>
      <c r="Z442" s="11"/>
    </row>
    <row r="443">
      <c r="A443" s="18"/>
      <c r="B443" s="11"/>
      <c r="C443" s="11"/>
      <c r="D443" s="11"/>
      <c r="E443" s="11"/>
      <c r="F443" s="11"/>
      <c r="G443" s="11"/>
      <c r="H443" s="11"/>
      <c r="I443" s="11"/>
      <c r="J443" s="11"/>
      <c r="K443" s="11"/>
      <c r="L443" s="15"/>
      <c r="M443" s="15"/>
      <c r="N443" s="15"/>
      <c r="O443" s="15"/>
      <c r="P443" s="15"/>
      <c r="Q443" s="11"/>
      <c r="R443" s="11"/>
      <c r="S443" s="11"/>
      <c r="T443" s="11"/>
      <c r="U443" s="15"/>
      <c r="V443" s="11"/>
      <c r="W443" s="11"/>
      <c r="X443" s="11"/>
      <c r="Y443" s="11"/>
      <c r="Z443" s="11"/>
    </row>
    <row r="444">
      <c r="A444" s="18"/>
      <c r="B444" s="11"/>
      <c r="C444" s="11"/>
      <c r="D444" s="11"/>
      <c r="E444" s="11"/>
      <c r="F444" s="11"/>
      <c r="G444" s="11"/>
      <c r="H444" s="11"/>
      <c r="I444" s="11"/>
      <c r="J444" s="11"/>
      <c r="K444" s="11"/>
      <c r="L444" s="15"/>
      <c r="M444" s="15"/>
      <c r="N444" s="15"/>
      <c r="O444" s="15"/>
      <c r="P444" s="15"/>
      <c r="Q444" s="11"/>
      <c r="R444" s="11"/>
      <c r="S444" s="11"/>
      <c r="T444" s="11"/>
      <c r="U444" s="15"/>
      <c r="V444" s="11"/>
      <c r="W444" s="11"/>
      <c r="X444" s="11"/>
      <c r="Y444" s="11"/>
      <c r="Z444" s="11"/>
    </row>
    <row r="445">
      <c r="A445" s="18"/>
      <c r="B445" s="11"/>
      <c r="C445" s="11"/>
      <c r="D445" s="11"/>
      <c r="E445" s="11"/>
      <c r="F445" s="11"/>
      <c r="G445" s="11"/>
      <c r="H445" s="11"/>
      <c r="I445" s="11"/>
      <c r="J445" s="11"/>
      <c r="K445" s="11"/>
      <c r="L445" s="15"/>
      <c r="M445" s="15"/>
      <c r="N445" s="15"/>
      <c r="O445" s="15"/>
      <c r="P445" s="15"/>
      <c r="Q445" s="11"/>
      <c r="R445" s="11"/>
      <c r="S445" s="11"/>
      <c r="T445" s="11"/>
      <c r="U445" s="15"/>
      <c r="V445" s="11"/>
      <c r="W445" s="11"/>
      <c r="X445" s="11"/>
      <c r="Y445" s="11"/>
      <c r="Z445" s="11"/>
    </row>
    <row r="446">
      <c r="A446" s="18"/>
      <c r="B446" s="11"/>
      <c r="C446" s="11"/>
      <c r="D446" s="11"/>
      <c r="E446" s="11"/>
      <c r="F446" s="11"/>
      <c r="G446" s="11"/>
      <c r="H446" s="11"/>
      <c r="I446" s="11"/>
      <c r="J446" s="11"/>
      <c r="K446" s="11"/>
      <c r="L446" s="15"/>
      <c r="M446" s="15"/>
      <c r="N446" s="15"/>
      <c r="O446" s="15"/>
      <c r="P446" s="15"/>
      <c r="Q446" s="11"/>
      <c r="R446" s="11"/>
      <c r="S446" s="11"/>
      <c r="T446" s="11"/>
      <c r="U446" s="15"/>
      <c r="V446" s="11"/>
      <c r="W446" s="11"/>
      <c r="X446" s="11"/>
      <c r="Y446" s="11"/>
      <c r="Z446" s="11"/>
    </row>
    <row r="447">
      <c r="A447" s="18"/>
      <c r="B447" s="11"/>
      <c r="C447" s="11"/>
      <c r="D447" s="11"/>
      <c r="E447" s="11"/>
      <c r="F447" s="11"/>
      <c r="G447" s="11"/>
      <c r="H447" s="11"/>
      <c r="I447" s="11"/>
      <c r="J447" s="11"/>
      <c r="K447" s="11"/>
      <c r="L447" s="15"/>
      <c r="M447" s="15"/>
      <c r="N447" s="15"/>
      <c r="O447" s="15"/>
      <c r="P447" s="15"/>
      <c r="Q447" s="11"/>
      <c r="R447" s="11"/>
      <c r="S447" s="11"/>
      <c r="T447" s="11"/>
      <c r="U447" s="15"/>
      <c r="V447" s="11"/>
      <c r="W447" s="11"/>
      <c r="X447" s="11"/>
      <c r="Y447" s="11"/>
      <c r="Z447" s="11"/>
    </row>
    <row r="448">
      <c r="A448" s="18"/>
      <c r="B448" s="11"/>
      <c r="C448" s="11"/>
      <c r="D448" s="11"/>
      <c r="E448" s="11"/>
      <c r="F448" s="11"/>
      <c r="G448" s="11"/>
      <c r="H448" s="11"/>
      <c r="I448" s="11"/>
      <c r="J448" s="11"/>
      <c r="K448" s="11"/>
      <c r="L448" s="15"/>
      <c r="M448" s="15"/>
      <c r="N448" s="15"/>
      <c r="O448" s="15"/>
      <c r="P448" s="15"/>
      <c r="Q448" s="11"/>
      <c r="R448" s="11"/>
      <c r="S448" s="11"/>
      <c r="T448" s="11"/>
      <c r="U448" s="15"/>
      <c r="V448" s="11"/>
      <c r="W448" s="11"/>
      <c r="X448" s="11"/>
      <c r="Y448" s="11"/>
      <c r="Z448" s="11"/>
    </row>
    <row r="449">
      <c r="A449" s="18"/>
      <c r="B449" s="11"/>
      <c r="C449" s="11"/>
      <c r="D449" s="11"/>
      <c r="E449" s="11"/>
      <c r="F449" s="11"/>
      <c r="G449" s="11"/>
      <c r="H449" s="11"/>
      <c r="I449" s="11"/>
      <c r="J449" s="11"/>
      <c r="K449" s="11"/>
      <c r="L449" s="15"/>
      <c r="M449" s="15"/>
      <c r="N449" s="15"/>
      <c r="O449" s="15"/>
      <c r="P449" s="15"/>
      <c r="Q449" s="11"/>
      <c r="R449" s="11"/>
      <c r="S449" s="11"/>
      <c r="T449" s="11"/>
      <c r="U449" s="15"/>
      <c r="V449" s="11"/>
      <c r="W449" s="11"/>
      <c r="X449" s="11"/>
      <c r="Y449" s="11"/>
      <c r="Z449" s="11"/>
    </row>
    <row r="450">
      <c r="A450" s="18"/>
      <c r="B450" s="11"/>
      <c r="C450" s="11"/>
      <c r="D450" s="11"/>
      <c r="E450" s="11"/>
      <c r="F450" s="11"/>
      <c r="G450" s="11"/>
      <c r="H450" s="11"/>
      <c r="I450" s="11"/>
      <c r="J450" s="11"/>
      <c r="K450" s="11"/>
      <c r="L450" s="15"/>
      <c r="M450" s="15"/>
      <c r="N450" s="15"/>
      <c r="O450" s="15"/>
      <c r="P450" s="15"/>
      <c r="Q450" s="11"/>
      <c r="R450" s="11"/>
      <c r="S450" s="11"/>
      <c r="T450" s="11"/>
      <c r="U450" s="15"/>
      <c r="V450" s="11"/>
      <c r="W450" s="11"/>
      <c r="X450" s="11"/>
      <c r="Y450" s="11"/>
      <c r="Z450" s="11"/>
    </row>
    <row r="451">
      <c r="A451" s="18"/>
      <c r="B451" s="11"/>
      <c r="C451" s="11"/>
      <c r="D451" s="11"/>
      <c r="E451" s="11"/>
      <c r="F451" s="11"/>
      <c r="G451" s="11"/>
      <c r="H451" s="11"/>
      <c r="I451" s="11"/>
      <c r="J451" s="11"/>
      <c r="K451" s="11"/>
      <c r="L451" s="15"/>
      <c r="M451" s="15"/>
      <c r="N451" s="15"/>
      <c r="O451" s="15"/>
      <c r="P451" s="15"/>
      <c r="Q451" s="11"/>
      <c r="R451" s="11"/>
      <c r="S451" s="11"/>
      <c r="T451" s="11"/>
      <c r="U451" s="15"/>
      <c r="V451" s="11"/>
      <c r="W451" s="11"/>
      <c r="X451" s="11"/>
      <c r="Y451" s="11"/>
      <c r="Z451" s="11"/>
    </row>
    <row r="452">
      <c r="A452" s="18"/>
      <c r="B452" s="11"/>
      <c r="C452" s="11"/>
      <c r="D452" s="11"/>
      <c r="E452" s="11"/>
      <c r="F452" s="11"/>
      <c r="G452" s="11"/>
      <c r="H452" s="11"/>
      <c r="I452" s="11"/>
      <c r="J452" s="11"/>
      <c r="K452" s="11"/>
      <c r="L452" s="15"/>
      <c r="M452" s="15"/>
      <c r="N452" s="15"/>
      <c r="O452" s="15"/>
      <c r="P452" s="15"/>
      <c r="Q452" s="11"/>
      <c r="R452" s="11"/>
      <c r="S452" s="11"/>
      <c r="T452" s="11"/>
      <c r="U452" s="15"/>
      <c r="V452" s="11"/>
      <c r="W452" s="11"/>
      <c r="X452" s="11"/>
      <c r="Y452" s="11"/>
      <c r="Z452" s="11"/>
    </row>
    <row r="453">
      <c r="A453" s="18"/>
      <c r="B453" s="11"/>
      <c r="C453" s="11"/>
      <c r="D453" s="11"/>
      <c r="E453" s="11"/>
      <c r="F453" s="11"/>
      <c r="G453" s="11"/>
      <c r="H453" s="11"/>
      <c r="I453" s="11"/>
      <c r="J453" s="11"/>
      <c r="K453" s="11"/>
      <c r="L453" s="15"/>
      <c r="M453" s="15"/>
      <c r="N453" s="15"/>
      <c r="O453" s="15"/>
      <c r="P453" s="15"/>
      <c r="Q453" s="11"/>
      <c r="R453" s="11"/>
      <c r="S453" s="11"/>
      <c r="T453" s="11"/>
      <c r="U453" s="15"/>
      <c r="V453" s="11"/>
      <c r="W453" s="11"/>
      <c r="X453" s="11"/>
      <c r="Y453" s="11"/>
      <c r="Z453" s="11"/>
    </row>
    <row r="454">
      <c r="A454" s="18"/>
      <c r="B454" s="11"/>
      <c r="C454" s="11"/>
      <c r="D454" s="11"/>
      <c r="E454" s="11"/>
      <c r="F454" s="11"/>
      <c r="G454" s="11"/>
      <c r="H454" s="11"/>
      <c r="I454" s="11"/>
      <c r="J454" s="11"/>
      <c r="K454" s="11"/>
      <c r="L454" s="15"/>
      <c r="M454" s="15"/>
      <c r="N454" s="15"/>
      <c r="O454" s="15"/>
      <c r="P454" s="15"/>
      <c r="Q454" s="11"/>
      <c r="R454" s="11"/>
      <c r="S454" s="11"/>
      <c r="T454" s="11"/>
      <c r="U454" s="15"/>
      <c r="V454" s="11"/>
      <c r="W454" s="11"/>
      <c r="X454" s="11"/>
      <c r="Y454" s="11"/>
      <c r="Z454" s="11"/>
    </row>
    <row r="455">
      <c r="A455" s="18"/>
      <c r="B455" s="11"/>
      <c r="C455" s="11"/>
      <c r="D455" s="11"/>
      <c r="E455" s="11"/>
      <c r="F455" s="11"/>
      <c r="G455" s="11"/>
      <c r="H455" s="11"/>
      <c r="I455" s="11"/>
      <c r="J455" s="11"/>
      <c r="K455" s="11"/>
      <c r="L455" s="15"/>
      <c r="M455" s="15"/>
      <c r="N455" s="15"/>
      <c r="O455" s="15"/>
      <c r="P455" s="15"/>
      <c r="Q455" s="11"/>
      <c r="R455" s="11"/>
      <c r="S455" s="11"/>
      <c r="T455" s="11"/>
      <c r="U455" s="15"/>
      <c r="V455" s="11"/>
      <c r="W455" s="11"/>
      <c r="X455" s="11"/>
      <c r="Y455" s="11"/>
      <c r="Z455" s="11"/>
    </row>
    <row r="456">
      <c r="A456" s="18"/>
      <c r="B456" s="11"/>
      <c r="C456" s="11"/>
      <c r="D456" s="11"/>
      <c r="E456" s="11"/>
      <c r="F456" s="11"/>
      <c r="G456" s="11"/>
      <c r="H456" s="11"/>
      <c r="I456" s="11"/>
      <c r="J456" s="11"/>
      <c r="K456" s="11"/>
      <c r="L456" s="15"/>
      <c r="M456" s="15"/>
      <c r="N456" s="15"/>
      <c r="O456" s="15"/>
      <c r="P456" s="15"/>
      <c r="Q456" s="11"/>
      <c r="R456" s="11"/>
      <c r="S456" s="11"/>
      <c r="T456" s="11"/>
      <c r="U456" s="15"/>
      <c r="V456" s="11"/>
      <c r="W456" s="11"/>
      <c r="X456" s="11"/>
      <c r="Y456" s="11"/>
      <c r="Z456" s="11"/>
    </row>
    <row r="457">
      <c r="A457" s="18"/>
      <c r="B457" s="11"/>
      <c r="C457" s="11"/>
      <c r="D457" s="11"/>
      <c r="E457" s="11"/>
      <c r="F457" s="11"/>
      <c r="G457" s="11"/>
      <c r="H457" s="11"/>
      <c r="I457" s="11"/>
      <c r="J457" s="11"/>
      <c r="K457" s="11"/>
      <c r="L457" s="15"/>
      <c r="M457" s="15"/>
      <c r="N457" s="15"/>
      <c r="O457" s="15"/>
      <c r="P457" s="15"/>
      <c r="Q457" s="11"/>
      <c r="R457" s="11"/>
      <c r="S457" s="11"/>
      <c r="T457" s="11"/>
      <c r="U457" s="15"/>
      <c r="V457" s="11"/>
      <c r="W457" s="11"/>
      <c r="X457" s="11"/>
      <c r="Y457" s="11"/>
      <c r="Z457" s="11"/>
    </row>
    <row r="458">
      <c r="A458" s="18"/>
      <c r="B458" s="11"/>
      <c r="C458" s="11"/>
      <c r="D458" s="11"/>
      <c r="E458" s="11"/>
      <c r="F458" s="11"/>
      <c r="G458" s="11"/>
      <c r="H458" s="11"/>
      <c r="I458" s="11"/>
      <c r="J458" s="11"/>
      <c r="K458" s="11"/>
      <c r="L458" s="15"/>
      <c r="M458" s="15"/>
      <c r="N458" s="15"/>
      <c r="O458" s="15"/>
      <c r="P458" s="15"/>
      <c r="Q458" s="11"/>
      <c r="R458" s="11"/>
      <c r="S458" s="11"/>
      <c r="T458" s="11"/>
      <c r="U458" s="15"/>
      <c r="V458" s="11"/>
      <c r="W458" s="11"/>
      <c r="X458" s="11"/>
      <c r="Y458" s="11"/>
      <c r="Z458" s="11"/>
    </row>
    <row r="459">
      <c r="A459" s="18"/>
      <c r="B459" s="11"/>
      <c r="C459" s="11"/>
      <c r="D459" s="11"/>
      <c r="E459" s="11"/>
      <c r="F459" s="11"/>
      <c r="G459" s="11"/>
      <c r="H459" s="11"/>
      <c r="I459" s="11"/>
      <c r="J459" s="11"/>
      <c r="K459" s="11"/>
      <c r="L459" s="15"/>
      <c r="M459" s="15"/>
      <c r="N459" s="15"/>
      <c r="O459" s="15"/>
      <c r="P459" s="15"/>
      <c r="Q459" s="11"/>
      <c r="R459" s="11"/>
      <c r="S459" s="11"/>
      <c r="T459" s="11"/>
      <c r="U459" s="15"/>
      <c r="V459" s="11"/>
      <c r="W459" s="11"/>
      <c r="X459" s="11"/>
      <c r="Y459" s="11"/>
      <c r="Z459" s="11"/>
    </row>
    <row r="460">
      <c r="A460" s="18"/>
      <c r="B460" s="11"/>
      <c r="C460" s="11"/>
      <c r="D460" s="11"/>
      <c r="E460" s="11"/>
      <c r="F460" s="11"/>
      <c r="G460" s="11"/>
      <c r="H460" s="11"/>
      <c r="I460" s="11"/>
      <c r="J460" s="11"/>
      <c r="K460" s="11"/>
      <c r="L460" s="15"/>
      <c r="M460" s="15"/>
      <c r="N460" s="15"/>
      <c r="O460" s="15"/>
      <c r="P460" s="15"/>
      <c r="Q460" s="11"/>
      <c r="R460" s="11"/>
      <c r="S460" s="11"/>
      <c r="T460" s="11"/>
      <c r="U460" s="15"/>
      <c r="V460" s="11"/>
      <c r="W460" s="11"/>
      <c r="X460" s="11"/>
      <c r="Y460" s="11"/>
      <c r="Z460" s="11"/>
    </row>
    <row r="461">
      <c r="A461" s="18"/>
      <c r="B461" s="11"/>
      <c r="C461" s="11"/>
      <c r="D461" s="11"/>
      <c r="E461" s="11"/>
      <c r="F461" s="11"/>
      <c r="G461" s="11"/>
      <c r="H461" s="11"/>
      <c r="I461" s="11"/>
      <c r="J461" s="11"/>
      <c r="K461" s="11"/>
      <c r="L461" s="15"/>
      <c r="M461" s="15"/>
      <c r="N461" s="15"/>
      <c r="O461" s="15"/>
      <c r="P461" s="15"/>
      <c r="Q461" s="11"/>
      <c r="R461" s="11"/>
      <c r="S461" s="11"/>
      <c r="T461" s="11"/>
      <c r="U461" s="15"/>
      <c r="V461" s="11"/>
      <c r="W461" s="11"/>
      <c r="X461" s="11"/>
      <c r="Y461" s="11"/>
      <c r="Z461" s="11"/>
    </row>
    <row r="462">
      <c r="A462" s="18"/>
      <c r="B462" s="11"/>
      <c r="C462" s="11"/>
      <c r="D462" s="11"/>
      <c r="E462" s="11"/>
      <c r="F462" s="11"/>
      <c r="G462" s="11"/>
      <c r="H462" s="11"/>
      <c r="I462" s="11"/>
      <c r="J462" s="11"/>
      <c r="K462" s="11"/>
      <c r="L462" s="15"/>
      <c r="M462" s="15"/>
      <c r="N462" s="15"/>
      <c r="O462" s="15"/>
      <c r="P462" s="15"/>
      <c r="Q462" s="11"/>
      <c r="R462" s="11"/>
      <c r="S462" s="11"/>
      <c r="T462" s="11"/>
      <c r="U462" s="15"/>
      <c r="V462" s="11"/>
      <c r="W462" s="11"/>
      <c r="X462" s="11"/>
      <c r="Y462" s="11"/>
      <c r="Z462" s="11"/>
    </row>
    <row r="463">
      <c r="A463" s="18"/>
      <c r="B463" s="11"/>
      <c r="C463" s="11"/>
      <c r="D463" s="11"/>
      <c r="E463" s="11"/>
      <c r="F463" s="11"/>
      <c r="G463" s="11"/>
      <c r="H463" s="11"/>
      <c r="I463" s="11"/>
      <c r="J463" s="11"/>
      <c r="K463" s="11"/>
      <c r="L463" s="15"/>
      <c r="M463" s="15"/>
      <c r="N463" s="15"/>
      <c r="O463" s="15"/>
      <c r="P463" s="15"/>
      <c r="Q463" s="11"/>
      <c r="R463" s="11"/>
      <c r="S463" s="11"/>
      <c r="T463" s="11"/>
      <c r="U463" s="15"/>
      <c r="V463" s="11"/>
      <c r="W463" s="11"/>
      <c r="X463" s="11"/>
      <c r="Y463" s="11"/>
      <c r="Z463" s="11"/>
    </row>
    <row r="464">
      <c r="A464" s="18"/>
      <c r="B464" s="11"/>
      <c r="C464" s="11"/>
      <c r="D464" s="11"/>
      <c r="E464" s="11"/>
      <c r="F464" s="11"/>
      <c r="G464" s="11"/>
      <c r="H464" s="11"/>
      <c r="I464" s="11"/>
      <c r="J464" s="11"/>
      <c r="K464" s="11"/>
      <c r="L464" s="15"/>
      <c r="M464" s="15"/>
      <c r="N464" s="15"/>
      <c r="O464" s="15"/>
      <c r="P464" s="15"/>
      <c r="Q464" s="11"/>
      <c r="R464" s="11"/>
      <c r="S464" s="11"/>
      <c r="T464" s="11"/>
      <c r="U464" s="15"/>
      <c r="V464" s="11"/>
      <c r="W464" s="11"/>
      <c r="X464" s="11"/>
      <c r="Y464" s="11"/>
      <c r="Z464" s="11"/>
    </row>
    <row r="465">
      <c r="A465" s="18"/>
      <c r="B465" s="11"/>
      <c r="C465" s="11"/>
      <c r="D465" s="11"/>
      <c r="E465" s="11"/>
      <c r="F465" s="11"/>
      <c r="G465" s="11"/>
      <c r="H465" s="11"/>
      <c r="I465" s="11"/>
      <c r="J465" s="11"/>
      <c r="K465" s="11"/>
      <c r="L465" s="15"/>
      <c r="M465" s="15"/>
      <c r="N465" s="15"/>
      <c r="O465" s="15"/>
      <c r="P465" s="15"/>
      <c r="Q465" s="11"/>
      <c r="R465" s="11"/>
      <c r="S465" s="11"/>
      <c r="T465" s="11"/>
      <c r="U465" s="15"/>
      <c r="V465" s="11"/>
      <c r="W465" s="11"/>
      <c r="X465" s="11"/>
      <c r="Y465" s="11"/>
      <c r="Z465" s="11"/>
    </row>
    <row r="466">
      <c r="A466" s="18"/>
      <c r="B466" s="11"/>
      <c r="C466" s="11"/>
      <c r="D466" s="11"/>
      <c r="E466" s="11"/>
      <c r="F466" s="11"/>
      <c r="G466" s="11"/>
      <c r="H466" s="11"/>
      <c r="I466" s="11"/>
      <c r="J466" s="11"/>
      <c r="K466" s="11"/>
      <c r="L466" s="15"/>
      <c r="M466" s="15"/>
      <c r="N466" s="15"/>
      <c r="O466" s="15"/>
      <c r="P466" s="15"/>
      <c r="Q466" s="11"/>
      <c r="R466" s="11"/>
      <c r="S466" s="11"/>
      <c r="T466" s="11"/>
      <c r="U466" s="15"/>
      <c r="V466" s="11"/>
      <c r="W466" s="11"/>
      <c r="X466" s="11"/>
      <c r="Y466" s="11"/>
      <c r="Z466" s="11"/>
    </row>
    <row r="467">
      <c r="A467" s="18"/>
      <c r="B467" s="11"/>
      <c r="C467" s="11"/>
      <c r="D467" s="11"/>
      <c r="E467" s="11"/>
      <c r="F467" s="11"/>
      <c r="G467" s="11"/>
      <c r="H467" s="11"/>
      <c r="I467" s="11"/>
      <c r="J467" s="11"/>
      <c r="K467" s="11"/>
      <c r="L467" s="15"/>
      <c r="M467" s="15"/>
      <c r="N467" s="15"/>
      <c r="O467" s="15"/>
      <c r="P467" s="15"/>
      <c r="Q467" s="11"/>
      <c r="R467" s="11"/>
      <c r="S467" s="11"/>
      <c r="T467" s="11"/>
      <c r="U467" s="15"/>
      <c r="V467" s="11"/>
      <c r="W467" s="11"/>
      <c r="X467" s="11"/>
      <c r="Y467" s="11"/>
      <c r="Z467" s="11"/>
    </row>
    <row r="468">
      <c r="A468" s="18"/>
      <c r="B468" s="11"/>
      <c r="C468" s="11"/>
      <c r="D468" s="11"/>
      <c r="E468" s="11"/>
      <c r="F468" s="11"/>
      <c r="G468" s="11"/>
      <c r="H468" s="11"/>
      <c r="I468" s="11"/>
      <c r="J468" s="11"/>
      <c r="K468" s="11"/>
      <c r="L468" s="15"/>
      <c r="M468" s="15"/>
      <c r="N468" s="15"/>
      <c r="O468" s="15"/>
      <c r="P468" s="15"/>
      <c r="Q468" s="11"/>
      <c r="R468" s="11"/>
      <c r="S468" s="11"/>
      <c r="T468" s="11"/>
      <c r="U468" s="15"/>
      <c r="V468" s="11"/>
      <c r="W468" s="11"/>
      <c r="X468" s="11"/>
      <c r="Y468" s="11"/>
      <c r="Z468" s="11"/>
    </row>
    <row r="469">
      <c r="A469" s="18"/>
      <c r="B469" s="11"/>
      <c r="C469" s="11"/>
      <c r="D469" s="11"/>
      <c r="E469" s="11"/>
      <c r="F469" s="11"/>
      <c r="G469" s="11"/>
      <c r="H469" s="11"/>
      <c r="I469" s="11"/>
      <c r="J469" s="11"/>
      <c r="K469" s="11"/>
      <c r="L469" s="15"/>
      <c r="M469" s="15"/>
      <c r="N469" s="15"/>
      <c r="O469" s="15"/>
      <c r="P469" s="15"/>
      <c r="Q469" s="11"/>
      <c r="R469" s="11"/>
      <c r="S469" s="11"/>
      <c r="T469" s="11"/>
      <c r="U469" s="15"/>
      <c r="V469" s="11"/>
      <c r="W469" s="11"/>
      <c r="X469" s="11"/>
      <c r="Y469" s="11"/>
      <c r="Z469" s="11"/>
    </row>
    <row r="470">
      <c r="A470" s="18"/>
      <c r="B470" s="11"/>
      <c r="C470" s="11"/>
      <c r="D470" s="11"/>
      <c r="E470" s="11"/>
      <c r="F470" s="11"/>
      <c r="G470" s="11"/>
      <c r="H470" s="11"/>
      <c r="I470" s="11"/>
      <c r="J470" s="11"/>
      <c r="K470" s="11"/>
      <c r="L470" s="15"/>
      <c r="M470" s="15"/>
      <c r="N470" s="15"/>
      <c r="O470" s="15"/>
      <c r="P470" s="15"/>
      <c r="Q470" s="11"/>
      <c r="R470" s="11"/>
      <c r="S470" s="11"/>
      <c r="T470" s="11"/>
      <c r="U470" s="15"/>
      <c r="V470" s="11"/>
      <c r="W470" s="11"/>
      <c r="X470" s="11"/>
      <c r="Y470" s="11"/>
      <c r="Z470" s="11"/>
    </row>
    <row r="471">
      <c r="A471" s="18"/>
      <c r="B471" s="11"/>
      <c r="C471" s="11"/>
      <c r="D471" s="11"/>
      <c r="E471" s="11"/>
      <c r="F471" s="11"/>
      <c r="G471" s="11"/>
      <c r="H471" s="11"/>
      <c r="I471" s="11"/>
      <c r="J471" s="11"/>
      <c r="K471" s="11"/>
      <c r="L471" s="15"/>
      <c r="M471" s="15"/>
      <c r="N471" s="15"/>
      <c r="O471" s="15"/>
      <c r="P471" s="15"/>
      <c r="Q471" s="11"/>
      <c r="R471" s="11"/>
      <c r="S471" s="11"/>
      <c r="T471" s="11"/>
      <c r="U471" s="15"/>
      <c r="V471" s="11"/>
      <c r="W471" s="11"/>
      <c r="X471" s="11"/>
      <c r="Y471" s="11"/>
      <c r="Z471" s="11"/>
    </row>
    <row r="472">
      <c r="A472" s="18"/>
      <c r="B472" s="11"/>
      <c r="C472" s="11"/>
      <c r="D472" s="11"/>
      <c r="E472" s="11"/>
      <c r="F472" s="11"/>
      <c r="G472" s="11"/>
      <c r="H472" s="11"/>
      <c r="I472" s="11"/>
      <c r="J472" s="11"/>
      <c r="K472" s="11"/>
      <c r="L472" s="15"/>
      <c r="M472" s="15"/>
      <c r="N472" s="15"/>
      <c r="O472" s="15"/>
      <c r="P472" s="15"/>
      <c r="Q472" s="11"/>
      <c r="R472" s="11"/>
      <c r="S472" s="11"/>
      <c r="T472" s="11"/>
      <c r="U472" s="15"/>
      <c r="V472" s="11"/>
      <c r="W472" s="11"/>
      <c r="X472" s="11"/>
      <c r="Y472" s="11"/>
      <c r="Z472" s="11"/>
    </row>
    <row r="473">
      <c r="A473" s="18"/>
      <c r="B473" s="11"/>
      <c r="C473" s="11"/>
      <c r="D473" s="11"/>
      <c r="E473" s="11"/>
      <c r="F473" s="11"/>
      <c r="G473" s="11"/>
      <c r="H473" s="11"/>
      <c r="I473" s="11"/>
      <c r="J473" s="11"/>
      <c r="K473" s="11"/>
      <c r="L473" s="15"/>
      <c r="M473" s="15"/>
      <c r="N473" s="15"/>
      <c r="O473" s="15"/>
      <c r="P473" s="15"/>
      <c r="Q473" s="11"/>
      <c r="R473" s="11"/>
      <c r="S473" s="11"/>
      <c r="T473" s="11"/>
      <c r="U473" s="15"/>
      <c r="V473" s="11"/>
      <c r="W473" s="11"/>
      <c r="X473" s="11"/>
      <c r="Y473" s="11"/>
      <c r="Z473" s="11"/>
    </row>
    <row r="474">
      <c r="A474" s="18"/>
      <c r="B474" s="11"/>
      <c r="C474" s="11"/>
      <c r="D474" s="11"/>
      <c r="E474" s="11"/>
      <c r="F474" s="11"/>
      <c r="G474" s="11"/>
      <c r="H474" s="11"/>
      <c r="I474" s="11"/>
      <c r="J474" s="11"/>
      <c r="K474" s="11"/>
      <c r="L474" s="15"/>
      <c r="M474" s="15"/>
      <c r="N474" s="15"/>
      <c r="O474" s="15"/>
      <c r="P474" s="15"/>
      <c r="Q474" s="11"/>
      <c r="R474" s="11"/>
      <c r="S474" s="11"/>
      <c r="T474" s="11"/>
      <c r="U474" s="15"/>
      <c r="V474" s="11"/>
      <c r="W474" s="11"/>
      <c r="X474" s="11"/>
      <c r="Y474" s="11"/>
      <c r="Z474" s="11"/>
    </row>
    <row r="475">
      <c r="A475" s="18"/>
      <c r="B475" s="11"/>
      <c r="C475" s="11"/>
      <c r="D475" s="11"/>
      <c r="E475" s="11"/>
      <c r="F475" s="11"/>
      <c r="G475" s="11"/>
      <c r="H475" s="11"/>
      <c r="I475" s="11"/>
      <c r="J475" s="11"/>
      <c r="K475" s="11"/>
      <c r="L475" s="15"/>
      <c r="M475" s="15"/>
      <c r="N475" s="15"/>
      <c r="O475" s="15"/>
      <c r="P475" s="15"/>
      <c r="Q475" s="11"/>
      <c r="R475" s="11"/>
      <c r="S475" s="11"/>
      <c r="T475" s="11"/>
      <c r="U475" s="15"/>
      <c r="V475" s="11"/>
      <c r="W475" s="11"/>
      <c r="X475" s="11"/>
      <c r="Y475" s="11"/>
      <c r="Z475" s="11"/>
    </row>
    <row r="476">
      <c r="A476" s="18"/>
      <c r="B476" s="11"/>
      <c r="C476" s="11"/>
      <c r="D476" s="11"/>
      <c r="E476" s="11"/>
      <c r="F476" s="11"/>
      <c r="G476" s="11"/>
      <c r="H476" s="11"/>
      <c r="I476" s="11"/>
      <c r="J476" s="11"/>
      <c r="K476" s="11"/>
      <c r="L476" s="15"/>
      <c r="M476" s="15"/>
      <c r="N476" s="15"/>
      <c r="O476" s="15"/>
      <c r="P476" s="15"/>
      <c r="Q476" s="11"/>
      <c r="R476" s="11"/>
      <c r="S476" s="11"/>
      <c r="T476" s="11"/>
      <c r="U476" s="15"/>
      <c r="V476" s="11"/>
      <c r="W476" s="11"/>
      <c r="X476" s="11"/>
      <c r="Y476" s="11"/>
      <c r="Z476" s="11"/>
    </row>
    <row r="477">
      <c r="A477" s="18"/>
      <c r="B477" s="11"/>
      <c r="C477" s="11"/>
      <c r="D477" s="11"/>
      <c r="E477" s="11"/>
      <c r="F477" s="11"/>
      <c r="G477" s="11"/>
      <c r="H477" s="11"/>
      <c r="I477" s="11"/>
      <c r="J477" s="11"/>
      <c r="K477" s="11"/>
      <c r="L477" s="15"/>
      <c r="M477" s="15"/>
      <c r="N477" s="15"/>
      <c r="O477" s="15"/>
      <c r="P477" s="15"/>
      <c r="Q477" s="11"/>
      <c r="R477" s="11"/>
      <c r="S477" s="11"/>
      <c r="T477" s="11"/>
      <c r="U477" s="15"/>
      <c r="V477" s="11"/>
      <c r="W477" s="11"/>
      <c r="X477" s="11"/>
      <c r="Y477" s="11"/>
      <c r="Z477" s="11"/>
    </row>
    <row r="478">
      <c r="A478" s="18"/>
      <c r="B478" s="11"/>
      <c r="C478" s="11"/>
      <c r="D478" s="11"/>
      <c r="E478" s="11"/>
      <c r="F478" s="11"/>
      <c r="G478" s="11"/>
      <c r="H478" s="11"/>
      <c r="I478" s="11"/>
      <c r="J478" s="11"/>
      <c r="K478" s="11"/>
      <c r="L478" s="15"/>
      <c r="M478" s="15"/>
      <c r="N478" s="15"/>
      <c r="O478" s="15"/>
      <c r="P478" s="15"/>
      <c r="Q478" s="11"/>
      <c r="R478" s="11"/>
      <c r="S478" s="11"/>
      <c r="T478" s="11"/>
      <c r="U478" s="15"/>
      <c r="V478" s="11"/>
      <c r="W478" s="11"/>
      <c r="X478" s="11"/>
      <c r="Y478" s="11"/>
      <c r="Z478" s="11"/>
    </row>
    <row r="479">
      <c r="A479" s="18"/>
      <c r="B479" s="11"/>
      <c r="C479" s="11"/>
      <c r="D479" s="11"/>
      <c r="E479" s="11"/>
      <c r="F479" s="11"/>
      <c r="G479" s="11"/>
      <c r="H479" s="11"/>
      <c r="I479" s="11"/>
      <c r="J479" s="11"/>
      <c r="K479" s="11"/>
      <c r="L479" s="15"/>
      <c r="M479" s="15"/>
      <c r="N479" s="15"/>
      <c r="O479" s="15"/>
      <c r="P479" s="15"/>
      <c r="Q479" s="11"/>
      <c r="R479" s="11"/>
      <c r="S479" s="11"/>
      <c r="T479" s="11"/>
      <c r="U479" s="15"/>
      <c r="V479" s="11"/>
      <c r="W479" s="11"/>
      <c r="X479" s="11"/>
      <c r="Y479" s="11"/>
      <c r="Z479" s="11"/>
    </row>
    <row r="480">
      <c r="A480" s="18"/>
      <c r="B480" s="11"/>
      <c r="C480" s="11"/>
      <c r="D480" s="11"/>
      <c r="E480" s="11"/>
      <c r="F480" s="11"/>
      <c r="G480" s="11"/>
      <c r="H480" s="11"/>
      <c r="I480" s="11"/>
      <c r="J480" s="11"/>
      <c r="K480" s="11"/>
      <c r="L480" s="15"/>
      <c r="M480" s="15"/>
      <c r="N480" s="15"/>
      <c r="O480" s="15"/>
      <c r="P480" s="15"/>
      <c r="Q480" s="11"/>
      <c r="R480" s="11"/>
      <c r="S480" s="11"/>
      <c r="T480" s="11"/>
      <c r="U480" s="15"/>
      <c r="V480" s="11"/>
      <c r="W480" s="11"/>
      <c r="X480" s="11"/>
      <c r="Y480" s="11"/>
      <c r="Z480" s="11"/>
    </row>
    <row r="481">
      <c r="A481" s="18"/>
      <c r="B481" s="11"/>
      <c r="C481" s="11"/>
      <c r="D481" s="11"/>
      <c r="E481" s="11"/>
      <c r="F481" s="11"/>
      <c r="G481" s="11"/>
      <c r="H481" s="11"/>
      <c r="I481" s="11"/>
      <c r="J481" s="11"/>
      <c r="K481" s="11"/>
      <c r="L481" s="15"/>
      <c r="M481" s="15"/>
      <c r="N481" s="15"/>
      <c r="O481" s="15"/>
      <c r="P481" s="15"/>
      <c r="Q481" s="11"/>
      <c r="R481" s="11"/>
      <c r="S481" s="11"/>
      <c r="T481" s="11"/>
      <c r="U481" s="15"/>
      <c r="V481" s="11"/>
      <c r="W481" s="11"/>
      <c r="X481" s="11"/>
      <c r="Y481" s="11"/>
      <c r="Z481" s="11"/>
    </row>
    <row r="482">
      <c r="A482" s="18"/>
      <c r="B482" s="11"/>
      <c r="C482" s="11"/>
      <c r="D482" s="11"/>
      <c r="E482" s="11"/>
      <c r="F482" s="11"/>
      <c r="G482" s="11"/>
      <c r="H482" s="11"/>
      <c r="I482" s="11"/>
      <c r="J482" s="11"/>
      <c r="K482" s="11"/>
      <c r="L482" s="15"/>
      <c r="M482" s="15"/>
      <c r="N482" s="15"/>
      <c r="O482" s="15"/>
      <c r="P482" s="15"/>
      <c r="Q482" s="11"/>
      <c r="R482" s="11"/>
      <c r="S482" s="11"/>
      <c r="T482" s="11"/>
      <c r="U482" s="15"/>
      <c r="V482" s="11"/>
      <c r="W482" s="11"/>
      <c r="X482" s="11"/>
      <c r="Y482" s="11"/>
      <c r="Z482" s="11"/>
    </row>
    <row r="483">
      <c r="A483" s="18"/>
      <c r="B483" s="11"/>
      <c r="C483" s="11"/>
      <c r="D483" s="11"/>
      <c r="E483" s="11"/>
      <c r="F483" s="11"/>
      <c r="G483" s="11"/>
      <c r="H483" s="11"/>
      <c r="I483" s="11"/>
      <c r="J483" s="11"/>
      <c r="K483" s="11"/>
      <c r="L483" s="15"/>
      <c r="M483" s="15"/>
      <c r="N483" s="15"/>
      <c r="O483" s="15"/>
      <c r="P483" s="15"/>
      <c r="Q483" s="11"/>
      <c r="R483" s="11"/>
      <c r="S483" s="11"/>
      <c r="T483" s="11"/>
      <c r="U483" s="15"/>
      <c r="V483" s="11"/>
      <c r="W483" s="11"/>
      <c r="X483" s="11"/>
      <c r="Y483" s="11"/>
      <c r="Z483" s="11"/>
    </row>
    <row r="484">
      <c r="A484" s="18"/>
      <c r="B484" s="11"/>
      <c r="C484" s="11"/>
      <c r="D484" s="11"/>
      <c r="E484" s="11"/>
      <c r="F484" s="11"/>
      <c r="G484" s="11"/>
      <c r="H484" s="11"/>
      <c r="I484" s="11"/>
      <c r="J484" s="11"/>
      <c r="K484" s="11"/>
      <c r="L484" s="15"/>
      <c r="M484" s="15"/>
      <c r="N484" s="15"/>
      <c r="O484" s="15"/>
      <c r="P484" s="15"/>
      <c r="Q484" s="11"/>
      <c r="R484" s="11"/>
      <c r="S484" s="11"/>
      <c r="T484" s="11"/>
      <c r="U484" s="15"/>
      <c r="V484" s="11"/>
      <c r="W484" s="11"/>
      <c r="X484" s="11"/>
      <c r="Y484" s="11"/>
      <c r="Z484" s="11"/>
    </row>
    <row r="485">
      <c r="A485" s="18"/>
      <c r="B485" s="11"/>
      <c r="C485" s="11"/>
      <c r="D485" s="11"/>
      <c r="E485" s="11"/>
      <c r="F485" s="11"/>
      <c r="G485" s="11"/>
      <c r="H485" s="11"/>
      <c r="I485" s="11"/>
      <c r="J485" s="11"/>
      <c r="K485" s="11"/>
      <c r="L485" s="15"/>
      <c r="M485" s="15"/>
      <c r="N485" s="15"/>
      <c r="O485" s="15"/>
      <c r="P485" s="15"/>
      <c r="Q485" s="11"/>
      <c r="R485" s="11"/>
      <c r="S485" s="11"/>
      <c r="T485" s="11"/>
      <c r="U485" s="15"/>
      <c r="V485" s="11"/>
      <c r="W485" s="11"/>
      <c r="X485" s="11"/>
      <c r="Y485" s="11"/>
      <c r="Z485" s="11"/>
    </row>
    <row r="486">
      <c r="A486" s="18"/>
      <c r="B486" s="11"/>
      <c r="C486" s="11"/>
      <c r="D486" s="11"/>
      <c r="E486" s="11"/>
      <c r="F486" s="11"/>
      <c r="G486" s="11"/>
      <c r="H486" s="11"/>
      <c r="I486" s="11"/>
      <c r="J486" s="11"/>
      <c r="K486" s="11"/>
      <c r="L486" s="15"/>
      <c r="M486" s="15"/>
      <c r="N486" s="15"/>
      <c r="O486" s="15"/>
      <c r="P486" s="15"/>
      <c r="Q486" s="11"/>
      <c r="R486" s="11"/>
      <c r="S486" s="11"/>
      <c r="T486" s="11"/>
      <c r="U486" s="15"/>
      <c r="V486" s="11"/>
      <c r="W486" s="11"/>
      <c r="X486" s="11"/>
      <c r="Y486" s="11"/>
      <c r="Z486" s="11"/>
    </row>
    <row r="487">
      <c r="A487" s="18"/>
      <c r="B487" s="11"/>
      <c r="C487" s="11"/>
      <c r="D487" s="11"/>
      <c r="E487" s="11"/>
      <c r="F487" s="11"/>
      <c r="G487" s="11"/>
      <c r="H487" s="11"/>
      <c r="I487" s="11"/>
      <c r="J487" s="11"/>
      <c r="K487" s="11"/>
      <c r="L487" s="15"/>
      <c r="M487" s="15"/>
      <c r="N487" s="15"/>
      <c r="O487" s="15"/>
      <c r="P487" s="15"/>
      <c r="Q487" s="11"/>
      <c r="R487" s="11"/>
      <c r="S487" s="11"/>
      <c r="T487" s="11"/>
      <c r="U487" s="15"/>
      <c r="V487" s="11"/>
      <c r="W487" s="11"/>
      <c r="X487" s="11"/>
      <c r="Y487" s="11"/>
      <c r="Z487" s="11"/>
    </row>
    <row r="488">
      <c r="A488" s="18"/>
      <c r="B488" s="11"/>
      <c r="C488" s="11"/>
      <c r="D488" s="11"/>
      <c r="E488" s="11"/>
      <c r="F488" s="11"/>
      <c r="G488" s="11"/>
      <c r="H488" s="11"/>
      <c r="I488" s="11"/>
      <c r="J488" s="11"/>
      <c r="K488" s="11"/>
      <c r="L488" s="15"/>
      <c r="M488" s="15"/>
      <c r="N488" s="15"/>
      <c r="O488" s="15"/>
      <c r="P488" s="15"/>
      <c r="Q488" s="11"/>
      <c r="R488" s="11"/>
      <c r="S488" s="11"/>
      <c r="T488" s="11"/>
      <c r="U488" s="15"/>
      <c r="V488" s="11"/>
      <c r="W488" s="11"/>
      <c r="X488" s="11"/>
      <c r="Y488" s="11"/>
      <c r="Z488" s="11"/>
    </row>
    <row r="489">
      <c r="A489" s="18"/>
      <c r="B489" s="11"/>
      <c r="C489" s="11"/>
      <c r="D489" s="11"/>
      <c r="E489" s="11"/>
      <c r="F489" s="11"/>
      <c r="G489" s="11"/>
      <c r="H489" s="11"/>
      <c r="I489" s="11"/>
      <c r="J489" s="11"/>
      <c r="K489" s="11"/>
      <c r="L489" s="15"/>
      <c r="M489" s="15"/>
      <c r="N489" s="15"/>
      <c r="O489" s="15"/>
      <c r="P489" s="15"/>
      <c r="Q489" s="11"/>
      <c r="R489" s="11"/>
      <c r="S489" s="11"/>
      <c r="T489" s="11"/>
      <c r="U489" s="15"/>
      <c r="V489" s="11"/>
      <c r="W489" s="11"/>
      <c r="X489" s="11"/>
      <c r="Y489" s="11"/>
      <c r="Z489" s="11"/>
    </row>
    <row r="490">
      <c r="A490" s="18"/>
      <c r="B490" s="11"/>
      <c r="C490" s="11"/>
      <c r="D490" s="11"/>
      <c r="E490" s="11"/>
      <c r="F490" s="11"/>
      <c r="G490" s="11"/>
      <c r="H490" s="11"/>
      <c r="I490" s="11"/>
      <c r="J490" s="11"/>
      <c r="K490" s="11"/>
      <c r="L490" s="15"/>
      <c r="M490" s="15"/>
      <c r="N490" s="15"/>
      <c r="O490" s="15"/>
      <c r="P490" s="15"/>
      <c r="Q490" s="11"/>
      <c r="R490" s="11"/>
      <c r="S490" s="11"/>
      <c r="T490" s="11"/>
      <c r="U490" s="15"/>
      <c r="V490" s="11"/>
      <c r="W490" s="11"/>
      <c r="X490" s="11"/>
      <c r="Y490" s="11"/>
      <c r="Z490" s="11"/>
    </row>
    <row r="491">
      <c r="A491" s="18"/>
      <c r="B491" s="11"/>
      <c r="C491" s="11"/>
      <c r="D491" s="11"/>
      <c r="E491" s="11"/>
      <c r="F491" s="11"/>
      <c r="G491" s="11"/>
      <c r="H491" s="11"/>
      <c r="I491" s="11"/>
      <c r="J491" s="11"/>
      <c r="K491" s="11"/>
      <c r="L491" s="15"/>
      <c r="M491" s="15"/>
      <c r="N491" s="15"/>
      <c r="O491" s="15"/>
      <c r="P491" s="15"/>
      <c r="Q491" s="11"/>
      <c r="R491" s="11"/>
      <c r="S491" s="11"/>
      <c r="T491" s="11"/>
      <c r="U491" s="15"/>
      <c r="V491" s="11"/>
      <c r="W491" s="11"/>
      <c r="X491" s="11"/>
      <c r="Y491" s="11"/>
      <c r="Z491" s="11"/>
    </row>
    <row r="492">
      <c r="A492" s="18"/>
      <c r="B492" s="11"/>
      <c r="C492" s="11"/>
      <c r="D492" s="11"/>
      <c r="E492" s="11"/>
      <c r="F492" s="11"/>
      <c r="G492" s="11"/>
      <c r="H492" s="11"/>
      <c r="I492" s="11"/>
      <c r="J492" s="11"/>
      <c r="K492" s="11"/>
      <c r="L492" s="15"/>
      <c r="M492" s="15"/>
      <c r="N492" s="15"/>
      <c r="O492" s="15"/>
      <c r="P492" s="15"/>
      <c r="Q492" s="11"/>
      <c r="R492" s="11"/>
      <c r="S492" s="11"/>
      <c r="T492" s="11"/>
      <c r="U492" s="15"/>
      <c r="V492" s="11"/>
      <c r="W492" s="11"/>
      <c r="X492" s="11"/>
      <c r="Y492" s="11"/>
      <c r="Z492" s="11"/>
    </row>
    <row r="493">
      <c r="A493" s="18"/>
      <c r="B493" s="11"/>
      <c r="C493" s="11"/>
      <c r="D493" s="11"/>
      <c r="E493" s="11"/>
      <c r="F493" s="11"/>
      <c r="G493" s="11"/>
      <c r="H493" s="11"/>
      <c r="I493" s="11"/>
      <c r="J493" s="11"/>
      <c r="K493" s="11"/>
      <c r="L493" s="15"/>
      <c r="M493" s="15"/>
      <c r="N493" s="15"/>
      <c r="O493" s="15"/>
      <c r="P493" s="15"/>
      <c r="Q493" s="11"/>
      <c r="R493" s="11"/>
      <c r="S493" s="11"/>
      <c r="T493" s="11"/>
      <c r="U493" s="15"/>
      <c r="V493" s="11"/>
      <c r="W493" s="11"/>
      <c r="X493" s="11"/>
      <c r="Y493" s="11"/>
      <c r="Z493" s="11"/>
    </row>
    <row r="494">
      <c r="A494" s="18"/>
      <c r="B494" s="11"/>
      <c r="C494" s="11"/>
      <c r="D494" s="11"/>
      <c r="E494" s="11"/>
      <c r="F494" s="11"/>
      <c r="G494" s="11"/>
      <c r="H494" s="11"/>
      <c r="I494" s="11"/>
      <c r="J494" s="11"/>
      <c r="K494" s="11"/>
      <c r="L494" s="15"/>
      <c r="M494" s="15"/>
      <c r="N494" s="15"/>
      <c r="O494" s="15"/>
      <c r="P494" s="15"/>
      <c r="Q494" s="11"/>
      <c r="R494" s="11"/>
      <c r="S494" s="11"/>
      <c r="T494" s="11"/>
      <c r="U494" s="15"/>
      <c r="V494" s="11"/>
      <c r="W494" s="11"/>
      <c r="X494" s="11"/>
      <c r="Y494" s="11"/>
      <c r="Z494" s="11"/>
    </row>
    <row r="495">
      <c r="A495" s="18"/>
      <c r="B495" s="11"/>
      <c r="C495" s="11"/>
      <c r="D495" s="11"/>
      <c r="E495" s="11"/>
      <c r="F495" s="11"/>
      <c r="G495" s="11"/>
      <c r="H495" s="11"/>
      <c r="I495" s="11"/>
      <c r="J495" s="11"/>
      <c r="K495" s="11"/>
      <c r="L495" s="15"/>
      <c r="M495" s="15"/>
      <c r="N495" s="15"/>
      <c r="O495" s="15"/>
      <c r="P495" s="15"/>
      <c r="Q495" s="11"/>
      <c r="R495" s="11"/>
      <c r="S495" s="11"/>
      <c r="T495" s="11"/>
      <c r="U495" s="15"/>
      <c r="V495" s="11"/>
      <c r="W495" s="11"/>
      <c r="X495" s="11"/>
      <c r="Y495" s="11"/>
      <c r="Z495" s="11"/>
    </row>
    <row r="496">
      <c r="A496" s="18"/>
      <c r="B496" s="11"/>
      <c r="C496" s="11"/>
      <c r="D496" s="11"/>
      <c r="E496" s="11"/>
      <c r="F496" s="11"/>
      <c r="G496" s="11"/>
      <c r="H496" s="11"/>
      <c r="I496" s="11"/>
      <c r="J496" s="11"/>
      <c r="K496" s="11"/>
      <c r="L496" s="15"/>
      <c r="M496" s="15"/>
      <c r="N496" s="15"/>
      <c r="O496" s="15"/>
      <c r="P496" s="15"/>
      <c r="Q496" s="11"/>
      <c r="R496" s="11"/>
      <c r="S496" s="11"/>
      <c r="T496" s="11"/>
      <c r="U496" s="15"/>
      <c r="V496" s="11"/>
      <c r="W496" s="11"/>
      <c r="X496" s="11"/>
      <c r="Y496" s="11"/>
      <c r="Z496" s="11"/>
    </row>
    <row r="497">
      <c r="A497" s="18"/>
      <c r="B497" s="11"/>
      <c r="C497" s="11"/>
      <c r="D497" s="11"/>
      <c r="E497" s="11"/>
      <c r="F497" s="11"/>
      <c r="G497" s="11"/>
      <c r="H497" s="11"/>
      <c r="I497" s="11"/>
      <c r="J497" s="11"/>
      <c r="K497" s="11"/>
      <c r="L497" s="15"/>
      <c r="M497" s="15"/>
      <c r="N497" s="15"/>
      <c r="O497" s="15"/>
      <c r="P497" s="15"/>
      <c r="Q497" s="11"/>
      <c r="R497" s="11"/>
      <c r="S497" s="11"/>
      <c r="T497" s="11"/>
      <c r="U497" s="15"/>
      <c r="V497" s="11"/>
      <c r="W497" s="11"/>
      <c r="X497" s="11"/>
      <c r="Y497" s="11"/>
      <c r="Z497" s="11"/>
    </row>
    <row r="498">
      <c r="A498" s="18"/>
      <c r="B498" s="11"/>
      <c r="C498" s="11"/>
      <c r="D498" s="11"/>
      <c r="E498" s="11"/>
      <c r="F498" s="11"/>
      <c r="G498" s="11"/>
      <c r="H498" s="11"/>
      <c r="I498" s="11"/>
      <c r="J498" s="11"/>
      <c r="K498" s="11"/>
      <c r="L498" s="15"/>
      <c r="M498" s="15"/>
      <c r="N498" s="15"/>
      <c r="O498" s="15"/>
      <c r="P498" s="15"/>
      <c r="Q498" s="11"/>
      <c r="R498" s="11"/>
      <c r="S498" s="11"/>
      <c r="T498" s="11"/>
      <c r="U498" s="15"/>
      <c r="V498" s="11"/>
      <c r="W498" s="11"/>
      <c r="X498" s="11"/>
      <c r="Y498" s="11"/>
      <c r="Z498" s="11"/>
    </row>
    <row r="499">
      <c r="A499" s="18"/>
      <c r="B499" s="11"/>
      <c r="C499" s="11"/>
      <c r="D499" s="11"/>
      <c r="E499" s="11"/>
      <c r="F499" s="11"/>
      <c r="G499" s="11"/>
      <c r="H499" s="11"/>
      <c r="I499" s="11"/>
      <c r="J499" s="11"/>
      <c r="K499" s="11"/>
      <c r="L499" s="15"/>
      <c r="M499" s="15"/>
      <c r="N499" s="15"/>
      <c r="O499" s="15"/>
      <c r="P499" s="15"/>
      <c r="Q499" s="11"/>
      <c r="R499" s="11"/>
      <c r="S499" s="11"/>
      <c r="T499" s="11"/>
      <c r="U499" s="15"/>
      <c r="V499" s="11"/>
      <c r="W499" s="11"/>
      <c r="X499" s="11"/>
      <c r="Y499" s="11"/>
      <c r="Z499" s="11"/>
    </row>
    <row r="500">
      <c r="A500" s="18"/>
      <c r="B500" s="11"/>
      <c r="C500" s="11"/>
      <c r="D500" s="11"/>
      <c r="E500" s="11"/>
      <c r="F500" s="11"/>
      <c r="G500" s="11"/>
      <c r="H500" s="11"/>
      <c r="I500" s="11"/>
      <c r="J500" s="11"/>
      <c r="K500" s="11"/>
      <c r="L500" s="15"/>
      <c r="M500" s="15"/>
      <c r="N500" s="15"/>
      <c r="O500" s="15"/>
      <c r="P500" s="15"/>
      <c r="Q500" s="11"/>
      <c r="R500" s="11"/>
      <c r="S500" s="11"/>
      <c r="T500" s="11"/>
      <c r="U500" s="15"/>
      <c r="V500" s="11"/>
      <c r="W500" s="11"/>
      <c r="X500" s="11"/>
      <c r="Y500" s="11"/>
      <c r="Z500" s="11"/>
    </row>
    <row r="501">
      <c r="A501" s="18"/>
      <c r="B501" s="11"/>
      <c r="C501" s="11"/>
      <c r="D501" s="11"/>
      <c r="E501" s="11"/>
      <c r="F501" s="11"/>
      <c r="G501" s="11"/>
      <c r="H501" s="11"/>
      <c r="I501" s="11"/>
      <c r="J501" s="11"/>
      <c r="K501" s="11"/>
      <c r="L501" s="15"/>
      <c r="M501" s="15"/>
      <c r="N501" s="15"/>
      <c r="O501" s="15"/>
      <c r="P501" s="15"/>
      <c r="Q501" s="11"/>
      <c r="R501" s="11"/>
      <c r="S501" s="11"/>
      <c r="T501" s="11"/>
      <c r="U501" s="15"/>
      <c r="V501" s="11"/>
      <c r="W501" s="11"/>
      <c r="X501" s="11"/>
      <c r="Y501" s="11"/>
      <c r="Z501" s="11"/>
    </row>
    <row r="502">
      <c r="A502" s="18"/>
      <c r="B502" s="11"/>
      <c r="C502" s="11"/>
      <c r="D502" s="11"/>
      <c r="E502" s="11"/>
      <c r="F502" s="11"/>
      <c r="G502" s="11"/>
      <c r="H502" s="11"/>
      <c r="I502" s="11"/>
      <c r="J502" s="11"/>
      <c r="K502" s="11"/>
      <c r="L502" s="15"/>
      <c r="M502" s="15"/>
      <c r="N502" s="15"/>
      <c r="O502" s="15"/>
      <c r="P502" s="15"/>
      <c r="Q502" s="11"/>
      <c r="R502" s="11"/>
      <c r="S502" s="11"/>
      <c r="T502" s="11"/>
      <c r="U502" s="15"/>
      <c r="V502" s="11"/>
      <c r="W502" s="11"/>
      <c r="X502" s="11"/>
      <c r="Y502" s="11"/>
      <c r="Z502" s="11"/>
    </row>
    <row r="503">
      <c r="A503" s="18"/>
      <c r="B503" s="11"/>
      <c r="C503" s="11"/>
      <c r="D503" s="11"/>
      <c r="E503" s="11"/>
      <c r="F503" s="11"/>
      <c r="G503" s="11"/>
      <c r="H503" s="11"/>
      <c r="I503" s="11"/>
      <c r="J503" s="11"/>
      <c r="K503" s="11"/>
      <c r="L503" s="15"/>
      <c r="M503" s="15"/>
      <c r="N503" s="15"/>
      <c r="O503" s="15"/>
      <c r="P503" s="15"/>
      <c r="Q503" s="11"/>
      <c r="R503" s="11"/>
      <c r="S503" s="11"/>
      <c r="T503" s="11"/>
      <c r="U503" s="15"/>
      <c r="V503" s="11"/>
      <c r="W503" s="11"/>
      <c r="X503" s="11"/>
      <c r="Y503" s="11"/>
      <c r="Z503" s="11"/>
    </row>
    <row r="504">
      <c r="A504" s="18"/>
      <c r="B504" s="11"/>
      <c r="C504" s="11"/>
      <c r="D504" s="11"/>
      <c r="E504" s="11"/>
      <c r="F504" s="11"/>
      <c r="G504" s="11"/>
      <c r="H504" s="11"/>
      <c r="I504" s="11"/>
      <c r="J504" s="11"/>
      <c r="K504" s="11"/>
      <c r="L504" s="15"/>
      <c r="M504" s="15"/>
      <c r="N504" s="15"/>
      <c r="O504" s="15"/>
      <c r="P504" s="15"/>
      <c r="Q504" s="11"/>
      <c r="R504" s="11"/>
      <c r="S504" s="11"/>
      <c r="T504" s="11"/>
      <c r="U504" s="15"/>
      <c r="V504" s="11"/>
      <c r="W504" s="11"/>
      <c r="X504" s="11"/>
      <c r="Y504" s="11"/>
      <c r="Z504" s="11"/>
    </row>
    <row r="505">
      <c r="A505" s="18"/>
      <c r="B505" s="11"/>
      <c r="C505" s="11"/>
      <c r="D505" s="11"/>
      <c r="E505" s="11"/>
      <c r="F505" s="11"/>
      <c r="G505" s="11"/>
      <c r="H505" s="11"/>
      <c r="I505" s="11"/>
      <c r="J505" s="11"/>
      <c r="K505" s="11"/>
      <c r="L505" s="15"/>
      <c r="M505" s="15"/>
      <c r="N505" s="15"/>
      <c r="O505" s="15"/>
      <c r="P505" s="15"/>
      <c r="Q505" s="11"/>
      <c r="R505" s="11"/>
      <c r="S505" s="11"/>
      <c r="T505" s="11"/>
      <c r="U505" s="15"/>
      <c r="V505" s="11"/>
      <c r="W505" s="11"/>
      <c r="X505" s="11"/>
      <c r="Y505" s="11"/>
      <c r="Z505" s="11"/>
    </row>
    <row r="506">
      <c r="A506" s="18"/>
      <c r="B506" s="11"/>
      <c r="C506" s="11"/>
      <c r="D506" s="11"/>
      <c r="E506" s="11"/>
      <c r="F506" s="11"/>
      <c r="G506" s="11"/>
      <c r="H506" s="11"/>
      <c r="I506" s="11"/>
      <c r="J506" s="11"/>
      <c r="K506" s="11"/>
      <c r="L506" s="15"/>
      <c r="M506" s="15"/>
      <c r="N506" s="15"/>
      <c r="O506" s="15"/>
      <c r="P506" s="15"/>
      <c r="Q506" s="11"/>
      <c r="R506" s="11"/>
      <c r="S506" s="11"/>
      <c r="T506" s="11"/>
      <c r="U506" s="15"/>
      <c r="V506" s="11"/>
      <c r="W506" s="11"/>
      <c r="X506" s="11"/>
      <c r="Y506" s="11"/>
      <c r="Z506" s="11"/>
    </row>
    <row r="507">
      <c r="A507" s="18"/>
      <c r="B507" s="11"/>
      <c r="C507" s="11"/>
      <c r="D507" s="11"/>
      <c r="E507" s="11"/>
      <c r="F507" s="11"/>
      <c r="G507" s="11"/>
      <c r="H507" s="11"/>
      <c r="I507" s="11"/>
      <c r="J507" s="11"/>
      <c r="K507" s="11"/>
      <c r="L507" s="15"/>
      <c r="M507" s="15"/>
      <c r="N507" s="15"/>
      <c r="O507" s="15"/>
      <c r="P507" s="15"/>
      <c r="Q507" s="11"/>
      <c r="R507" s="11"/>
      <c r="S507" s="11"/>
      <c r="T507" s="11"/>
      <c r="U507" s="15"/>
      <c r="V507" s="11"/>
      <c r="W507" s="11"/>
      <c r="X507" s="11"/>
      <c r="Y507" s="11"/>
      <c r="Z507" s="11"/>
    </row>
    <row r="508">
      <c r="A508" s="18"/>
      <c r="B508" s="11"/>
      <c r="C508" s="11"/>
      <c r="D508" s="11"/>
      <c r="E508" s="11"/>
      <c r="F508" s="11"/>
      <c r="G508" s="11"/>
      <c r="H508" s="11"/>
      <c r="I508" s="11"/>
      <c r="J508" s="11"/>
      <c r="K508" s="11"/>
      <c r="L508" s="15"/>
      <c r="M508" s="15"/>
      <c r="N508" s="15"/>
      <c r="O508" s="15"/>
      <c r="P508" s="15"/>
      <c r="Q508" s="11"/>
      <c r="R508" s="11"/>
      <c r="S508" s="11"/>
      <c r="T508" s="11"/>
      <c r="U508" s="15"/>
      <c r="V508" s="11"/>
      <c r="W508" s="11"/>
      <c r="X508" s="11"/>
      <c r="Y508" s="11"/>
      <c r="Z508" s="11"/>
    </row>
    <row r="509">
      <c r="A509" s="18"/>
      <c r="B509" s="11"/>
      <c r="C509" s="11"/>
      <c r="D509" s="11"/>
      <c r="E509" s="11"/>
      <c r="F509" s="11"/>
      <c r="G509" s="11"/>
      <c r="H509" s="11"/>
      <c r="I509" s="11"/>
      <c r="J509" s="11"/>
      <c r="K509" s="11"/>
      <c r="L509" s="15"/>
      <c r="M509" s="15"/>
      <c r="N509" s="15"/>
      <c r="O509" s="15"/>
      <c r="P509" s="15"/>
      <c r="Q509" s="11"/>
      <c r="R509" s="11"/>
      <c r="S509" s="11"/>
      <c r="T509" s="11"/>
      <c r="U509" s="15"/>
      <c r="V509" s="11"/>
      <c r="W509" s="11"/>
      <c r="X509" s="11"/>
      <c r="Y509" s="11"/>
      <c r="Z509" s="11"/>
    </row>
    <row r="510">
      <c r="A510" s="18"/>
      <c r="B510" s="11"/>
      <c r="C510" s="11"/>
      <c r="D510" s="11"/>
      <c r="E510" s="11"/>
      <c r="F510" s="11"/>
      <c r="G510" s="11"/>
      <c r="H510" s="11"/>
      <c r="I510" s="11"/>
      <c r="J510" s="11"/>
      <c r="K510" s="11"/>
      <c r="L510" s="15"/>
      <c r="M510" s="15"/>
      <c r="N510" s="15"/>
      <c r="O510" s="15"/>
      <c r="P510" s="15"/>
      <c r="Q510" s="11"/>
      <c r="R510" s="11"/>
      <c r="S510" s="11"/>
      <c r="T510" s="11"/>
      <c r="U510" s="15"/>
      <c r="V510" s="11"/>
      <c r="W510" s="11"/>
      <c r="X510" s="11"/>
      <c r="Y510" s="11"/>
      <c r="Z510" s="11"/>
    </row>
    <row r="511">
      <c r="A511" s="18"/>
      <c r="B511" s="11"/>
      <c r="C511" s="11"/>
      <c r="D511" s="11"/>
      <c r="E511" s="11"/>
      <c r="F511" s="11"/>
      <c r="G511" s="11"/>
      <c r="H511" s="11"/>
      <c r="I511" s="11"/>
      <c r="J511" s="11"/>
      <c r="K511" s="11"/>
      <c r="L511" s="15"/>
      <c r="M511" s="15"/>
      <c r="N511" s="15"/>
      <c r="O511" s="15"/>
      <c r="P511" s="15"/>
      <c r="Q511" s="11"/>
      <c r="R511" s="11"/>
      <c r="S511" s="11"/>
      <c r="T511" s="11"/>
      <c r="U511" s="15"/>
      <c r="V511" s="11"/>
      <c r="W511" s="11"/>
      <c r="X511" s="11"/>
      <c r="Y511" s="11"/>
      <c r="Z511" s="11"/>
    </row>
    <row r="512">
      <c r="A512" s="18"/>
      <c r="B512" s="11"/>
      <c r="C512" s="11"/>
      <c r="D512" s="11"/>
      <c r="E512" s="11"/>
      <c r="F512" s="11"/>
      <c r="G512" s="11"/>
      <c r="H512" s="11"/>
      <c r="I512" s="11"/>
      <c r="J512" s="11"/>
      <c r="K512" s="11"/>
      <c r="L512" s="15"/>
      <c r="M512" s="15"/>
      <c r="N512" s="15"/>
      <c r="O512" s="15"/>
      <c r="P512" s="15"/>
      <c r="Q512" s="11"/>
      <c r="R512" s="11"/>
      <c r="S512" s="11"/>
      <c r="T512" s="11"/>
      <c r="U512" s="15"/>
      <c r="V512" s="11"/>
      <c r="W512" s="11"/>
      <c r="X512" s="11"/>
      <c r="Y512" s="11"/>
      <c r="Z512" s="11"/>
    </row>
    <row r="513">
      <c r="A513" s="18"/>
      <c r="B513" s="11"/>
      <c r="C513" s="11"/>
      <c r="D513" s="11"/>
      <c r="E513" s="11"/>
      <c r="F513" s="11"/>
      <c r="G513" s="11"/>
      <c r="H513" s="11"/>
      <c r="I513" s="11"/>
      <c r="J513" s="11"/>
      <c r="K513" s="11"/>
      <c r="L513" s="15"/>
      <c r="M513" s="15"/>
      <c r="N513" s="15"/>
      <c r="O513" s="15"/>
      <c r="P513" s="15"/>
      <c r="Q513" s="11"/>
      <c r="R513" s="11"/>
      <c r="S513" s="11"/>
      <c r="T513" s="11"/>
      <c r="U513" s="15"/>
      <c r="V513" s="11"/>
      <c r="W513" s="11"/>
      <c r="X513" s="11"/>
      <c r="Y513" s="11"/>
      <c r="Z513" s="11"/>
    </row>
    <row r="514">
      <c r="A514" s="18"/>
      <c r="B514" s="11"/>
      <c r="C514" s="11"/>
      <c r="D514" s="11"/>
      <c r="E514" s="11"/>
      <c r="F514" s="11"/>
      <c r="G514" s="11"/>
      <c r="H514" s="11"/>
      <c r="I514" s="11"/>
      <c r="J514" s="11"/>
      <c r="K514" s="11"/>
      <c r="L514" s="15"/>
      <c r="M514" s="15"/>
      <c r="N514" s="15"/>
      <c r="O514" s="15"/>
      <c r="P514" s="15"/>
      <c r="Q514" s="11"/>
      <c r="R514" s="11"/>
      <c r="S514" s="11"/>
      <c r="T514" s="11"/>
      <c r="U514" s="15"/>
      <c r="V514" s="11"/>
      <c r="W514" s="11"/>
      <c r="X514" s="11"/>
      <c r="Y514" s="11"/>
      <c r="Z514" s="11"/>
    </row>
    <row r="515">
      <c r="A515" s="18"/>
      <c r="B515" s="11"/>
      <c r="C515" s="11"/>
      <c r="D515" s="11"/>
      <c r="E515" s="11"/>
      <c r="F515" s="11"/>
      <c r="G515" s="11"/>
      <c r="H515" s="11"/>
      <c r="I515" s="11"/>
      <c r="J515" s="11"/>
      <c r="K515" s="11"/>
      <c r="L515" s="15"/>
      <c r="M515" s="15"/>
      <c r="N515" s="15"/>
      <c r="O515" s="15"/>
      <c r="P515" s="15"/>
      <c r="Q515" s="11"/>
      <c r="R515" s="11"/>
      <c r="S515" s="11"/>
      <c r="T515" s="11"/>
      <c r="U515" s="15"/>
      <c r="V515" s="11"/>
      <c r="W515" s="11"/>
      <c r="X515" s="11"/>
      <c r="Y515" s="11"/>
      <c r="Z515" s="11"/>
    </row>
    <row r="516">
      <c r="A516" s="18"/>
      <c r="B516" s="11"/>
      <c r="C516" s="11"/>
      <c r="D516" s="11"/>
      <c r="E516" s="11"/>
      <c r="F516" s="11"/>
      <c r="G516" s="11"/>
      <c r="H516" s="11"/>
      <c r="I516" s="11"/>
      <c r="J516" s="11"/>
      <c r="K516" s="11"/>
      <c r="L516" s="15"/>
      <c r="M516" s="15"/>
      <c r="N516" s="15"/>
      <c r="O516" s="15"/>
      <c r="P516" s="15"/>
      <c r="Q516" s="11"/>
      <c r="R516" s="11"/>
      <c r="S516" s="11"/>
      <c r="T516" s="11"/>
      <c r="U516" s="15"/>
      <c r="V516" s="11"/>
      <c r="W516" s="11"/>
      <c r="X516" s="11"/>
      <c r="Y516" s="11"/>
      <c r="Z516" s="11"/>
    </row>
    <row r="517">
      <c r="A517" s="18"/>
      <c r="B517" s="11"/>
      <c r="C517" s="11"/>
      <c r="D517" s="11"/>
      <c r="E517" s="11"/>
      <c r="F517" s="11"/>
      <c r="G517" s="11"/>
      <c r="H517" s="11"/>
      <c r="I517" s="11"/>
      <c r="J517" s="11"/>
      <c r="K517" s="11"/>
      <c r="L517" s="15"/>
      <c r="M517" s="15"/>
      <c r="N517" s="15"/>
      <c r="O517" s="15"/>
      <c r="P517" s="15"/>
      <c r="Q517" s="11"/>
      <c r="R517" s="11"/>
      <c r="S517" s="11"/>
      <c r="T517" s="11"/>
      <c r="U517" s="15"/>
      <c r="V517" s="11"/>
      <c r="W517" s="11"/>
      <c r="X517" s="11"/>
      <c r="Y517" s="11"/>
      <c r="Z517" s="11"/>
    </row>
    <row r="518">
      <c r="A518" s="18"/>
      <c r="B518" s="11"/>
      <c r="C518" s="11"/>
      <c r="D518" s="11"/>
      <c r="E518" s="11"/>
      <c r="F518" s="11"/>
      <c r="G518" s="11"/>
      <c r="H518" s="11"/>
      <c r="I518" s="11"/>
      <c r="J518" s="11"/>
      <c r="K518" s="11"/>
      <c r="L518" s="15"/>
      <c r="M518" s="15"/>
      <c r="N518" s="15"/>
      <c r="O518" s="15"/>
      <c r="P518" s="15"/>
      <c r="Q518" s="11"/>
      <c r="R518" s="11"/>
      <c r="S518" s="11"/>
      <c r="T518" s="11"/>
      <c r="U518" s="15"/>
      <c r="V518" s="11"/>
      <c r="W518" s="11"/>
      <c r="X518" s="11"/>
      <c r="Y518" s="11"/>
      <c r="Z518" s="11"/>
    </row>
    <row r="519">
      <c r="A519" s="18"/>
      <c r="B519" s="11"/>
      <c r="C519" s="11"/>
      <c r="D519" s="11"/>
      <c r="E519" s="11"/>
      <c r="F519" s="11"/>
      <c r="G519" s="11"/>
      <c r="H519" s="11"/>
      <c r="I519" s="11"/>
      <c r="J519" s="11"/>
      <c r="K519" s="11"/>
      <c r="L519" s="15"/>
      <c r="M519" s="15"/>
      <c r="N519" s="15"/>
      <c r="O519" s="15"/>
      <c r="P519" s="15"/>
      <c r="Q519" s="11"/>
      <c r="R519" s="11"/>
      <c r="S519" s="11"/>
      <c r="T519" s="11"/>
      <c r="U519" s="15"/>
      <c r="V519" s="11"/>
      <c r="W519" s="11"/>
      <c r="X519" s="11"/>
      <c r="Y519" s="11"/>
      <c r="Z519" s="11"/>
    </row>
    <row r="520">
      <c r="A520" s="18"/>
      <c r="B520" s="11"/>
      <c r="C520" s="11"/>
      <c r="D520" s="11"/>
      <c r="E520" s="11"/>
      <c r="F520" s="11"/>
      <c r="G520" s="11"/>
      <c r="H520" s="11"/>
      <c r="I520" s="11"/>
      <c r="J520" s="11"/>
      <c r="K520" s="11"/>
      <c r="L520" s="15"/>
      <c r="M520" s="15"/>
      <c r="N520" s="15"/>
      <c r="O520" s="15"/>
      <c r="P520" s="15"/>
      <c r="Q520" s="11"/>
      <c r="R520" s="11"/>
      <c r="S520" s="11"/>
      <c r="T520" s="11"/>
      <c r="U520" s="15"/>
      <c r="V520" s="11"/>
      <c r="W520" s="11"/>
      <c r="X520" s="11"/>
      <c r="Y520" s="11"/>
      <c r="Z520" s="11"/>
    </row>
    <row r="521">
      <c r="A521" s="18"/>
      <c r="B521" s="11"/>
      <c r="C521" s="11"/>
      <c r="D521" s="11"/>
      <c r="E521" s="11"/>
      <c r="F521" s="11"/>
      <c r="G521" s="11"/>
      <c r="H521" s="11"/>
      <c r="I521" s="11"/>
      <c r="J521" s="11"/>
      <c r="K521" s="11"/>
      <c r="L521" s="15"/>
      <c r="M521" s="15"/>
      <c r="N521" s="15"/>
      <c r="O521" s="15"/>
      <c r="P521" s="15"/>
      <c r="Q521" s="11"/>
      <c r="R521" s="11"/>
      <c r="S521" s="11"/>
      <c r="T521" s="11"/>
      <c r="U521" s="15"/>
      <c r="V521" s="11"/>
      <c r="W521" s="11"/>
      <c r="X521" s="11"/>
      <c r="Y521" s="11"/>
      <c r="Z521" s="11"/>
    </row>
    <row r="522">
      <c r="A522" s="18"/>
      <c r="B522" s="11"/>
      <c r="C522" s="11"/>
      <c r="D522" s="11"/>
      <c r="E522" s="11"/>
      <c r="F522" s="11"/>
      <c r="G522" s="11"/>
      <c r="H522" s="11"/>
      <c r="I522" s="11"/>
      <c r="J522" s="11"/>
      <c r="K522" s="11"/>
      <c r="L522" s="15"/>
      <c r="M522" s="15"/>
      <c r="N522" s="15"/>
      <c r="O522" s="15"/>
      <c r="P522" s="15"/>
      <c r="Q522" s="11"/>
      <c r="R522" s="11"/>
      <c r="S522" s="11"/>
      <c r="T522" s="11"/>
      <c r="U522" s="15"/>
      <c r="V522" s="11"/>
      <c r="W522" s="11"/>
      <c r="X522" s="11"/>
      <c r="Y522" s="11"/>
      <c r="Z522" s="11"/>
    </row>
    <row r="523">
      <c r="A523" s="18"/>
      <c r="B523" s="11"/>
      <c r="C523" s="11"/>
      <c r="D523" s="11"/>
      <c r="E523" s="11"/>
      <c r="F523" s="11"/>
      <c r="G523" s="11"/>
      <c r="H523" s="11"/>
      <c r="I523" s="11"/>
      <c r="J523" s="11"/>
      <c r="K523" s="11"/>
      <c r="L523" s="15"/>
      <c r="M523" s="15"/>
      <c r="N523" s="15"/>
      <c r="O523" s="15"/>
      <c r="P523" s="15"/>
      <c r="Q523" s="11"/>
      <c r="R523" s="11"/>
      <c r="S523" s="11"/>
      <c r="T523" s="11"/>
      <c r="U523" s="15"/>
      <c r="V523" s="11"/>
      <c r="W523" s="11"/>
      <c r="X523" s="11"/>
      <c r="Y523" s="11"/>
      <c r="Z523" s="11"/>
    </row>
    <row r="524">
      <c r="A524" s="18"/>
      <c r="B524" s="11"/>
      <c r="C524" s="11"/>
      <c r="D524" s="11"/>
      <c r="E524" s="11"/>
      <c r="F524" s="11"/>
      <c r="G524" s="11"/>
      <c r="H524" s="11"/>
      <c r="I524" s="11"/>
      <c r="J524" s="11"/>
      <c r="K524" s="11"/>
      <c r="L524" s="15"/>
      <c r="M524" s="15"/>
      <c r="N524" s="15"/>
      <c r="O524" s="15"/>
      <c r="P524" s="15"/>
      <c r="Q524" s="11"/>
      <c r="R524" s="11"/>
      <c r="S524" s="11"/>
      <c r="T524" s="11"/>
      <c r="U524" s="15"/>
      <c r="V524" s="11"/>
      <c r="W524" s="11"/>
      <c r="X524" s="11"/>
      <c r="Y524" s="11"/>
      <c r="Z524" s="11"/>
    </row>
    <row r="525">
      <c r="A525" s="18"/>
      <c r="B525" s="11"/>
      <c r="C525" s="11"/>
      <c r="D525" s="11"/>
      <c r="E525" s="11"/>
      <c r="F525" s="11"/>
      <c r="G525" s="11"/>
      <c r="H525" s="11"/>
      <c r="I525" s="11"/>
      <c r="J525" s="11"/>
      <c r="K525" s="11"/>
      <c r="L525" s="15"/>
      <c r="M525" s="15"/>
      <c r="N525" s="15"/>
      <c r="O525" s="15"/>
      <c r="P525" s="15"/>
      <c r="Q525" s="11"/>
      <c r="R525" s="11"/>
      <c r="S525" s="11"/>
      <c r="T525" s="11"/>
      <c r="U525" s="15"/>
      <c r="V525" s="11"/>
      <c r="W525" s="11"/>
      <c r="X525" s="11"/>
      <c r="Y525" s="11"/>
      <c r="Z525" s="11"/>
    </row>
    <row r="526">
      <c r="A526" s="18"/>
      <c r="B526" s="11"/>
      <c r="C526" s="11"/>
      <c r="D526" s="11"/>
      <c r="E526" s="11"/>
      <c r="F526" s="11"/>
      <c r="G526" s="11"/>
      <c r="H526" s="11"/>
      <c r="I526" s="11"/>
      <c r="J526" s="11"/>
      <c r="K526" s="11"/>
      <c r="L526" s="15"/>
      <c r="M526" s="15"/>
      <c r="N526" s="15"/>
      <c r="O526" s="15"/>
      <c r="P526" s="15"/>
      <c r="Q526" s="11"/>
      <c r="R526" s="11"/>
      <c r="S526" s="11"/>
      <c r="T526" s="11"/>
      <c r="U526" s="15"/>
      <c r="V526" s="11"/>
      <c r="W526" s="11"/>
      <c r="X526" s="11"/>
      <c r="Y526" s="11"/>
      <c r="Z526" s="11"/>
    </row>
    <row r="527">
      <c r="A527" s="18"/>
      <c r="B527" s="11"/>
      <c r="C527" s="11"/>
      <c r="D527" s="11"/>
      <c r="E527" s="11"/>
      <c r="F527" s="11"/>
      <c r="G527" s="11"/>
      <c r="H527" s="11"/>
      <c r="I527" s="11"/>
      <c r="J527" s="11"/>
      <c r="K527" s="11"/>
      <c r="L527" s="15"/>
      <c r="M527" s="15"/>
      <c r="N527" s="15"/>
      <c r="O527" s="15"/>
      <c r="P527" s="15"/>
      <c r="Q527" s="11"/>
      <c r="R527" s="11"/>
      <c r="S527" s="11"/>
      <c r="T527" s="11"/>
      <c r="U527" s="15"/>
      <c r="V527" s="11"/>
      <c r="W527" s="11"/>
      <c r="X527" s="11"/>
      <c r="Y527" s="11"/>
      <c r="Z527" s="11"/>
    </row>
    <row r="528">
      <c r="A528" s="18"/>
      <c r="B528" s="11"/>
      <c r="C528" s="11"/>
      <c r="D528" s="11"/>
      <c r="E528" s="11"/>
      <c r="F528" s="11"/>
      <c r="G528" s="11"/>
      <c r="H528" s="11"/>
      <c r="I528" s="11"/>
      <c r="J528" s="11"/>
      <c r="K528" s="11"/>
      <c r="L528" s="15"/>
      <c r="M528" s="15"/>
      <c r="N528" s="15"/>
      <c r="O528" s="15"/>
      <c r="P528" s="15"/>
      <c r="Q528" s="11"/>
      <c r="R528" s="11"/>
      <c r="S528" s="11"/>
      <c r="T528" s="11"/>
      <c r="U528" s="15"/>
      <c r="V528" s="11"/>
      <c r="W528" s="11"/>
      <c r="X528" s="11"/>
      <c r="Y528" s="11"/>
      <c r="Z528" s="11"/>
    </row>
    <row r="529">
      <c r="A529" s="18"/>
      <c r="B529" s="11"/>
      <c r="C529" s="11"/>
      <c r="D529" s="11"/>
      <c r="E529" s="11"/>
      <c r="F529" s="11"/>
      <c r="G529" s="11"/>
      <c r="H529" s="11"/>
      <c r="I529" s="11"/>
      <c r="J529" s="11"/>
      <c r="K529" s="11"/>
      <c r="L529" s="15"/>
      <c r="M529" s="15"/>
      <c r="N529" s="15"/>
      <c r="O529" s="15"/>
      <c r="P529" s="15"/>
      <c r="Q529" s="11"/>
      <c r="R529" s="11"/>
      <c r="S529" s="11"/>
      <c r="T529" s="11"/>
      <c r="U529" s="15"/>
      <c r="V529" s="11"/>
      <c r="W529" s="11"/>
      <c r="X529" s="11"/>
      <c r="Y529" s="11"/>
      <c r="Z529" s="11"/>
    </row>
    <row r="530">
      <c r="A530" s="18"/>
      <c r="B530" s="11"/>
      <c r="C530" s="11"/>
      <c r="D530" s="11"/>
      <c r="E530" s="11"/>
      <c r="F530" s="11"/>
      <c r="G530" s="11"/>
      <c r="H530" s="11"/>
      <c r="I530" s="11"/>
      <c r="J530" s="11"/>
      <c r="K530" s="11"/>
      <c r="L530" s="15"/>
      <c r="M530" s="15"/>
      <c r="N530" s="15"/>
      <c r="O530" s="15"/>
      <c r="P530" s="15"/>
      <c r="Q530" s="11"/>
      <c r="R530" s="11"/>
      <c r="S530" s="11"/>
      <c r="T530" s="11"/>
      <c r="U530" s="15"/>
      <c r="V530" s="11"/>
      <c r="W530" s="11"/>
      <c r="X530" s="11"/>
      <c r="Y530" s="11"/>
      <c r="Z530" s="11"/>
    </row>
    <row r="531">
      <c r="A531" s="18"/>
      <c r="B531" s="11"/>
      <c r="C531" s="11"/>
      <c r="D531" s="11"/>
      <c r="E531" s="11"/>
      <c r="F531" s="11"/>
      <c r="G531" s="11"/>
      <c r="H531" s="11"/>
      <c r="I531" s="11"/>
      <c r="J531" s="11"/>
      <c r="K531" s="11"/>
      <c r="L531" s="15"/>
      <c r="M531" s="15"/>
      <c r="N531" s="15"/>
      <c r="O531" s="15"/>
      <c r="P531" s="15"/>
      <c r="Q531" s="11"/>
      <c r="R531" s="11"/>
      <c r="S531" s="11"/>
      <c r="T531" s="11"/>
      <c r="U531" s="15"/>
      <c r="V531" s="11"/>
      <c r="W531" s="11"/>
      <c r="X531" s="11"/>
      <c r="Y531" s="11"/>
      <c r="Z531" s="11"/>
    </row>
    <row r="532">
      <c r="A532" s="18"/>
      <c r="B532" s="11"/>
      <c r="C532" s="11"/>
      <c r="D532" s="11"/>
      <c r="E532" s="11"/>
      <c r="F532" s="11"/>
      <c r="G532" s="11"/>
      <c r="H532" s="11"/>
      <c r="I532" s="11"/>
      <c r="J532" s="11"/>
      <c r="K532" s="11"/>
      <c r="L532" s="15"/>
      <c r="M532" s="15"/>
      <c r="N532" s="15"/>
      <c r="O532" s="15"/>
      <c r="P532" s="15"/>
      <c r="Q532" s="11"/>
      <c r="R532" s="11"/>
      <c r="S532" s="11"/>
      <c r="T532" s="11"/>
      <c r="U532" s="15"/>
      <c r="V532" s="11"/>
      <c r="W532" s="11"/>
      <c r="X532" s="11"/>
      <c r="Y532" s="11"/>
      <c r="Z532" s="11"/>
    </row>
    <row r="533">
      <c r="A533" s="18"/>
      <c r="B533" s="11"/>
      <c r="C533" s="11"/>
      <c r="D533" s="11"/>
      <c r="E533" s="11"/>
      <c r="F533" s="11"/>
      <c r="G533" s="11"/>
      <c r="H533" s="11"/>
      <c r="I533" s="11"/>
      <c r="J533" s="11"/>
      <c r="K533" s="11"/>
      <c r="L533" s="15"/>
      <c r="M533" s="15"/>
      <c r="N533" s="15"/>
      <c r="O533" s="15"/>
      <c r="P533" s="15"/>
      <c r="Q533" s="11"/>
      <c r="R533" s="11"/>
      <c r="S533" s="11"/>
      <c r="T533" s="11"/>
      <c r="U533" s="15"/>
      <c r="V533" s="11"/>
      <c r="W533" s="11"/>
      <c r="X533" s="11"/>
      <c r="Y533" s="11"/>
      <c r="Z533" s="11"/>
    </row>
    <row r="534">
      <c r="A534" s="18"/>
      <c r="B534" s="11"/>
      <c r="C534" s="11"/>
      <c r="D534" s="11"/>
      <c r="E534" s="11"/>
      <c r="F534" s="11"/>
      <c r="G534" s="11"/>
      <c r="H534" s="11"/>
      <c r="I534" s="11"/>
      <c r="J534" s="11"/>
      <c r="K534" s="11"/>
      <c r="L534" s="15"/>
      <c r="M534" s="15"/>
      <c r="N534" s="15"/>
      <c r="O534" s="15"/>
      <c r="P534" s="15"/>
      <c r="Q534" s="11"/>
      <c r="R534" s="11"/>
      <c r="S534" s="11"/>
      <c r="T534" s="11"/>
      <c r="U534" s="15"/>
      <c r="V534" s="11"/>
      <c r="W534" s="11"/>
      <c r="X534" s="11"/>
      <c r="Y534" s="11"/>
      <c r="Z534" s="11"/>
    </row>
    <row r="535">
      <c r="A535" s="18"/>
      <c r="B535" s="11"/>
      <c r="C535" s="11"/>
      <c r="D535" s="11"/>
      <c r="E535" s="11"/>
      <c r="F535" s="11"/>
      <c r="G535" s="11"/>
      <c r="H535" s="11"/>
      <c r="I535" s="11"/>
      <c r="J535" s="11"/>
      <c r="K535" s="11"/>
      <c r="L535" s="15"/>
      <c r="M535" s="15"/>
      <c r="N535" s="15"/>
      <c r="O535" s="15"/>
      <c r="P535" s="15"/>
      <c r="Q535" s="11"/>
      <c r="R535" s="11"/>
      <c r="S535" s="11"/>
      <c r="T535" s="11"/>
      <c r="U535" s="15"/>
      <c r="V535" s="11"/>
      <c r="W535" s="11"/>
      <c r="X535" s="11"/>
      <c r="Y535" s="11"/>
      <c r="Z535" s="11"/>
    </row>
    <row r="536">
      <c r="A536" s="18"/>
      <c r="B536" s="11"/>
      <c r="C536" s="11"/>
      <c r="D536" s="11"/>
      <c r="E536" s="11"/>
      <c r="F536" s="11"/>
      <c r="G536" s="11"/>
      <c r="H536" s="11"/>
      <c r="I536" s="11"/>
      <c r="J536" s="11"/>
      <c r="K536" s="11"/>
      <c r="L536" s="15"/>
      <c r="M536" s="15"/>
      <c r="N536" s="15"/>
      <c r="O536" s="15"/>
      <c r="P536" s="15"/>
      <c r="Q536" s="11"/>
      <c r="R536" s="11"/>
      <c r="S536" s="11"/>
      <c r="T536" s="11"/>
      <c r="U536" s="15"/>
      <c r="V536" s="11"/>
      <c r="W536" s="11"/>
      <c r="X536" s="11"/>
      <c r="Y536" s="11"/>
      <c r="Z536" s="11"/>
    </row>
    <row r="537">
      <c r="A537" s="18"/>
      <c r="B537" s="11"/>
      <c r="C537" s="11"/>
      <c r="D537" s="11"/>
      <c r="E537" s="11"/>
      <c r="F537" s="11"/>
      <c r="G537" s="11"/>
      <c r="H537" s="11"/>
      <c r="I537" s="11"/>
      <c r="J537" s="11"/>
      <c r="K537" s="11"/>
      <c r="L537" s="15"/>
      <c r="M537" s="15"/>
      <c r="N537" s="15"/>
      <c r="O537" s="15"/>
      <c r="P537" s="15"/>
      <c r="Q537" s="11"/>
      <c r="R537" s="11"/>
      <c r="S537" s="11"/>
      <c r="T537" s="11"/>
      <c r="U537" s="15"/>
      <c r="V537" s="11"/>
      <c r="W537" s="11"/>
      <c r="X537" s="11"/>
      <c r="Y537" s="11"/>
      <c r="Z537" s="11"/>
    </row>
    <row r="538">
      <c r="A538" s="18"/>
      <c r="B538" s="11"/>
      <c r="C538" s="11"/>
      <c r="D538" s="11"/>
      <c r="E538" s="11"/>
      <c r="F538" s="11"/>
      <c r="G538" s="11"/>
      <c r="H538" s="11"/>
      <c r="I538" s="11"/>
      <c r="J538" s="11"/>
      <c r="K538" s="11"/>
      <c r="L538" s="15"/>
      <c r="M538" s="15"/>
      <c r="N538" s="15"/>
      <c r="O538" s="15"/>
      <c r="P538" s="15"/>
      <c r="Q538" s="11"/>
      <c r="R538" s="11"/>
      <c r="S538" s="11"/>
      <c r="T538" s="11"/>
      <c r="U538" s="15"/>
      <c r="V538" s="11"/>
      <c r="W538" s="11"/>
      <c r="X538" s="11"/>
      <c r="Y538" s="11"/>
      <c r="Z538" s="11"/>
    </row>
    <row r="539">
      <c r="A539" s="18"/>
      <c r="B539" s="11"/>
      <c r="C539" s="11"/>
      <c r="D539" s="11"/>
      <c r="E539" s="11"/>
      <c r="F539" s="11"/>
      <c r="G539" s="11"/>
      <c r="H539" s="11"/>
      <c r="I539" s="11"/>
      <c r="J539" s="11"/>
      <c r="K539" s="11"/>
      <c r="L539" s="15"/>
      <c r="M539" s="15"/>
      <c r="N539" s="15"/>
      <c r="O539" s="15"/>
      <c r="P539" s="15"/>
      <c r="Q539" s="11"/>
      <c r="R539" s="11"/>
      <c r="S539" s="11"/>
      <c r="T539" s="11"/>
      <c r="U539" s="15"/>
      <c r="V539" s="11"/>
      <c r="W539" s="11"/>
      <c r="X539" s="11"/>
      <c r="Y539" s="11"/>
      <c r="Z539" s="11"/>
    </row>
    <row r="540">
      <c r="A540" s="18"/>
      <c r="B540" s="11"/>
      <c r="C540" s="11"/>
      <c r="D540" s="11"/>
      <c r="E540" s="11"/>
      <c r="F540" s="11"/>
      <c r="G540" s="11"/>
      <c r="H540" s="11"/>
      <c r="I540" s="11"/>
      <c r="J540" s="11"/>
      <c r="K540" s="11"/>
      <c r="L540" s="15"/>
      <c r="M540" s="15"/>
      <c r="N540" s="15"/>
      <c r="O540" s="15"/>
      <c r="P540" s="15"/>
      <c r="Q540" s="11"/>
      <c r="R540" s="11"/>
      <c r="S540" s="11"/>
      <c r="T540" s="11"/>
      <c r="U540" s="15"/>
      <c r="V540" s="11"/>
      <c r="W540" s="11"/>
      <c r="X540" s="11"/>
      <c r="Y540" s="11"/>
      <c r="Z540" s="11"/>
    </row>
    <row r="541">
      <c r="A541" s="18"/>
      <c r="B541" s="11"/>
      <c r="C541" s="11"/>
      <c r="D541" s="11"/>
      <c r="E541" s="11"/>
      <c r="F541" s="11"/>
      <c r="G541" s="11"/>
      <c r="H541" s="11"/>
      <c r="I541" s="11"/>
      <c r="J541" s="11"/>
      <c r="K541" s="11"/>
      <c r="L541" s="15"/>
      <c r="M541" s="15"/>
      <c r="N541" s="15"/>
      <c r="O541" s="15"/>
      <c r="P541" s="15"/>
      <c r="Q541" s="11"/>
      <c r="R541" s="11"/>
      <c r="S541" s="11"/>
      <c r="T541" s="11"/>
      <c r="U541" s="15"/>
      <c r="V541" s="11"/>
      <c r="W541" s="11"/>
      <c r="X541" s="11"/>
      <c r="Y541" s="11"/>
      <c r="Z541" s="11"/>
    </row>
    <row r="542">
      <c r="A542" s="18"/>
      <c r="B542" s="11"/>
      <c r="C542" s="11"/>
      <c r="D542" s="11"/>
      <c r="E542" s="11"/>
      <c r="F542" s="11"/>
      <c r="G542" s="11"/>
      <c r="H542" s="11"/>
      <c r="I542" s="11"/>
      <c r="J542" s="11"/>
      <c r="K542" s="11"/>
      <c r="L542" s="15"/>
      <c r="M542" s="15"/>
      <c r="N542" s="15"/>
      <c r="O542" s="15"/>
      <c r="P542" s="15"/>
      <c r="Q542" s="11"/>
      <c r="R542" s="11"/>
      <c r="S542" s="11"/>
      <c r="T542" s="11"/>
      <c r="U542" s="15"/>
      <c r="V542" s="11"/>
      <c r="W542" s="11"/>
      <c r="X542" s="11"/>
      <c r="Y542" s="11"/>
      <c r="Z542" s="11"/>
    </row>
    <row r="543">
      <c r="A543" s="18"/>
      <c r="B543" s="11"/>
      <c r="C543" s="11"/>
      <c r="D543" s="11"/>
      <c r="E543" s="11"/>
      <c r="F543" s="11"/>
      <c r="G543" s="11"/>
      <c r="H543" s="11"/>
      <c r="I543" s="11"/>
      <c r="J543" s="11"/>
      <c r="K543" s="11"/>
      <c r="L543" s="15"/>
      <c r="M543" s="15"/>
      <c r="N543" s="15"/>
      <c r="O543" s="15"/>
      <c r="P543" s="15"/>
      <c r="Q543" s="11"/>
      <c r="R543" s="11"/>
      <c r="S543" s="11"/>
      <c r="T543" s="11"/>
      <c r="U543" s="15"/>
      <c r="V543" s="11"/>
      <c r="W543" s="11"/>
      <c r="X543" s="11"/>
      <c r="Y543" s="11"/>
      <c r="Z543" s="11"/>
    </row>
    <row r="544">
      <c r="A544" s="18"/>
      <c r="B544" s="11"/>
      <c r="C544" s="11"/>
      <c r="D544" s="11"/>
      <c r="E544" s="11"/>
      <c r="F544" s="11"/>
      <c r="G544" s="11"/>
      <c r="H544" s="11"/>
      <c r="I544" s="11"/>
      <c r="J544" s="11"/>
      <c r="K544" s="11"/>
      <c r="L544" s="15"/>
      <c r="M544" s="15"/>
      <c r="N544" s="15"/>
      <c r="O544" s="15"/>
      <c r="P544" s="15"/>
      <c r="Q544" s="11"/>
      <c r="R544" s="11"/>
      <c r="S544" s="11"/>
      <c r="T544" s="11"/>
      <c r="U544" s="15"/>
      <c r="V544" s="11"/>
      <c r="W544" s="11"/>
      <c r="X544" s="11"/>
      <c r="Y544" s="11"/>
      <c r="Z544" s="11"/>
    </row>
    <row r="545">
      <c r="A545" s="18"/>
      <c r="B545" s="11"/>
      <c r="C545" s="11"/>
      <c r="D545" s="11"/>
      <c r="E545" s="11"/>
      <c r="F545" s="11"/>
      <c r="G545" s="11"/>
      <c r="H545" s="11"/>
      <c r="I545" s="11"/>
      <c r="J545" s="11"/>
      <c r="K545" s="11"/>
      <c r="L545" s="15"/>
      <c r="M545" s="15"/>
      <c r="N545" s="15"/>
      <c r="O545" s="15"/>
      <c r="P545" s="15"/>
      <c r="Q545" s="11"/>
      <c r="R545" s="11"/>
      <c r="S545" s="11"/>
      <c r="T545" s="11"/>
      <c r="U545" s="15"/>
      <c r="V545" s="11"/>
      <c r="W545" s="11"/>
      <c r="X545" s="11"/>
      <c r="Y545" s="11"/>
      <c r="Z545" s="11"/>
    </row>
    <row r="546">
      <c r="A546" s="18"/>
      <c r="B546" s="11"/>
      <c r="C546" s="11"/>
      <c r="D546" s="11"/>
      <c r="E546" s="11"/>
      <c r="F546" s="11"/>
      <c r="G546" s="11"/>
      <c r="H546" s="11"/>
      <c r="I546" s="11"/>
      <c r="J546" s="11"/>
      <c r="K546" s="11"/>
      <c r="L546" s="15"/>
      <c r="M546" s="15"/>
      <c r="N546" s="15"/>
      <c r="O546" s="15"/>
      <c r="P546" s="15"/>
      <c r="Q546" s="11"/>
      <c r="R546" s="11"/>
      <c r="S546" s="11"/>
      <c r="T546" s="11"/>
      <c r="U546" s="15"/>
      <c r="V546" s="11"/>
      <c r="W546" s="11"/>
      <c r="X546" s="11"/>
      <c r="Y546" s="11"/>
      <c r="Z546" s="11"/>
    </row>
    <row r="547">
      <c r="A547" s="18"/>
      <c r="B547" s="11"/>
      <c r="C547" s="11"/>
      <c r="D547" s="11"/>
      <c r="E547" s="11"/>
      <c r="F547" s="11"/>
      <c r="G547" s="11"/>
      <c r="H547" s="11"/>
      <c r="I547" s="11"/>
      <c r="J547" s="11"/>
      <c r="K547" s="11"/>
      <c r="L547" s="15"/>
      <c r="M547" s="15"/>
      <c r="N547" s="15"/>
      <c r="O547" s="15"/>
      <c r="P547" s="15"/>
      <c r="Q547" s="11"/>
      <c r="R547" s="11"/>
      <c r="S547" s="11"/>
      <c r="T547" s="11"/>
      <c r="U547" s="15"/>
      <c r="V547" s="11"/>
      <c r="W547" s="11"/>
      <c r="X547" s="11"/>
      <c r="Y547" s="11"/>
      <c r="Z547" s="11"/>
    </row>
    <row r="548">
      <c r="A548" s="18"/>
      <c r="B548" s="11"/>
      <c r="C548" s="11"/>
      <c r="D548" s="11"/>
      <c r="E548" s="11"/>
      <c r="F548" s="11"/>
      <c r="G548" s="11"/>
      <c r="H548" s="11"/>
      <c r="I548" s="11"/>
      <c r="J548" s="11"/>
      <c r="K548" s="11"/>
      <c r="L548" s="15"/>
      <c r="M548" s="15"/>
      <c r="N548" s="15"/>
      <c r="O548" s="15"/>
      <c r="P548" s="15"/>
      <c r="Q548" s="11"/>
      <c r="R548" s="11"/>
      <c r="S548" s="11"/>
      <c r="T548" s="11"/>
      <c r="U548" s="15"/>
      <c r="V548" s="11"/>
      <c r="W548" s="11"/>
      <c r="X548" s="11"/>
      <c r="Y548" s="11"/>
      <c r="Z548" s="11"/>
    </row>
    <row r="549">
      <c r="A549" s="18"/>
      <c r="B549" s="11"/>
      <c r="C549" s="11"/>
      <c r="D549" s="11"/>
      <c r="E549" s="11"/>
      <c r="F549" s="11"/>
      <c r="G549" s="11"/>
      <c r="H549" s="11"/>
      <c r="I549" s="11"/>
      <c r="J549" s="11"/>
      <c r="K549" s="11"/>
      <c r="L549" s="15"/>
      <c r="M549" s="15"/>
      <c r="N549" s="15"/>
      <c r="O549" s="15"/>
      <c r="P549" s="15"/>
      <c r="Q549" s="11"/>
      <c r="R549" s="11"/>
      <c r="S549" s="11"/>
      <c r="T549" s="11"/>
      <c r="U549" s="15"/>
      <c r="V549" s="11"/>
      <c r="W549" s="11"/>
      <c r="X549" s="11"/>
      <c r="Y549" s="11"/>
      <c r="Z549" s="11"/>
    </row>
    <row r="550">
      <c r="A550" s="18"/>
      <c r="B550" s="11"/>
      <c r="C550" s="11"/>
      <c r="D550" s="11"/>
      <c r="E550" s="11"/>
      <c r="F550" s="11"/>
      <c r="G550" s="11"/>
      <c r="H550" s="11"/>
      <c r="I550" s="11"/>
      <c r="J550" s="11"/>
      <c r="K550" s="11"/>
      <c r="L550" s="15"/>
      <c r="M550" s="15"/>
      <c r="N550" s="15"/>
      <c r="O550" s="15"/>
      <c r="P550" s="15"/>
      <c r="Q550" s="11"/>
      <c r="R550" s="11"/>
      <c r="S550" s="11"/>
      <c r="T550" s="11"/>
      <c r="U550" s="15"/>
      <c r="V550" s="11"/>
      <c r="W550" s="11"/>
      <c r="X550" s="11"/>
      <c r="Y550" s="11"/>
      <c r="Z550" s="11"/>
    </row>
    <row r="551">
      <c r="A551" s="18"/>
      <c r="B551" s="11"/>
      <c r="C551" s="11"/>
      <c r="D551" s="11"/>
      <c r="E551" s="11"/>
      <c r="F551" s="11"/>
      <c r="G551" s="11"/>
      <c r="H551" s="11"/>
      <c r="I551" s="11"/>
      <c r="J551" s="11"/>
      <c r="K551" s="11"/>
      <c r="L551" s="15"/>
      <c r="M551" s="15"/>
      <c r="N551" s="15"/>
      <c r="O551" s="15"/>
      <c r="P551" s="15"/>
      <c r="Q551" s="11"/>
      <c r="R551" s="11"/>
      <c r="S551" s="11"/>
      <c r="T551" s="11"/>
      <c r="U551" s="15"/>
      <c r="V551" s="11"/>
      <c r="W551" s="11"/>
      <c r="X551" s="11"/>
      <c r="Y551" s="11"/>
      <c r="Z551" s="11"/>
    </row>
    <row r="552">
      <c r="A552" s="18"/>
      <c r="B552" s="11"/>
      <c r="C552" s="11"/>
      <c r="D552" s="11"/>
      <c r="E552" s="11"/>
      <c r="F552" s="11"/>
      <c r="G552" s="11"/>
      <c r="H552" s="11"/>
      <c r="I552" s="11"/>
      <c r="J552" s="11"/>
      <c r="K552" s="11"/>
      <c r="L552" s="15"/>
      <c r="M552" s="15"/>
      <c r="N552" s="15"/>
      <c r="O552" s="15"/>
      <c r="P552" s="15"/>
      <c r="Q552" s="11"/>
      <c r="R552" s="11"/>
      <c r="S552" s="11"/>
      <c r="T552" s="11"/>
      <c r="U552" s="15"/>
      <c r="V552" s="11"/>
      <c r="W552" s="11"/>
      <c r="X552" s="11"/>
      <c r="Y552" s="11"/>
      <c r="Z552" s="11"/>
    </row>
    <row r="553">
      <c r="A553" s="18"/>
      <c r="B553" s="11"/>
      <c r="C553" s="11"/>
      <c r="D553" s="11"/>
      <c r="E553" s="11"/>
      <c r="F553" s="11"/>
      <c r="G553" s="11"/>
      <c r="H553" s="11"/>
      <c r="I553" s="11"/>
      <c r="J553" s="11"/>
      <c r="K553" s="11"/>
      <c r="L553" s="15"/>
      <c r="M553" s="15"/>
      <c r="N553" s="15"/>
      <c r="O553" s="15"/>
      <c r="P553" s="15"/>
      <c r="Q553" s="11"/>
      <c r="R553" s="11"/>
      <c r="S553" s="11"/>
      <c r="T553" s="11"/>
      <c r="U553" s="15"/>
      <c r="V553" s="11"/>
      <c r="W553" s="11"/>
      <c r="X553" s="11"/>
      <c r="Y553" s="11"/>
      <c r="Z553" s="11"/>
    </row>
    <row r="554">
      <c r="A554" s="18"/>
      <c r="B554" s="11"/>
      <c r="C554" s="11"/>
      <c r="D554" s="11"/>
      <c r="E554" s="11"/>
      <c r="F554" s="11"/>
      <c r="G554" s="11"/>
      <c r="H554" s="11"/>
      <c r="I554" s="11"/>
      <c r="J554" s="11"/>
      <c r="K554" s="11"/>
      <c r="L554" s="15"/>
      <c r="M554" s="15"/>
      <c r="N554" s="15"/>
      <c r="O554" s="15"/>
      <c r="P554" s="15"/>
      <c r="Q554" s="11"/>
      <c r="R554" s="11"/>
      <c r="S554" s="11"/>
      <c r="T554" s="11"/>
      <c r="U554" s="15"/>
      <c r="V554" s="11"/>
      <c r="W554" s="11"/>
      <c r="X554" s="11"/>
      <c r="Y554" s="11"/>
      <c r="Z554" s="11"/>
    </row>
    <row r="555">
      <c r="A555" s="18"/>
      <c r="B555" s="11"/>
      <c r="C555" s="11"/>
      <c r="D555" s="11"/>
      <c r="E555" s="11"/>
      <c r="F555" s="11"/>
      <c r="G555" s="11"/>
      <c r="H555" s="11"/>
      <c r="I555" s="11"/>
      <c r="J555" s="11"/>
      <c r="K555" s="11"/>
      <c r="L555" s="15"/>
      <c r="M555" s="15"/>
      <c r="N555" s="15"/>
      <c r="O555" s="15"/>
      <c r="P555" s="15"/>
      <c r="Q555" s="11"/>
      <c r="R555" s="11"/>
      <c r="S555" s="11"/>
      <c r="T555" s="11"/>
      <c r="U555" s="15"/>
      <c r="V555" s="11"/>
      <c r="W555" s="11"/>
      <c r="X555" s="11"/>
      <c r="Y555" s="11"/>
      <c r="Z555" s="11"/>
    </row>
    <row r="556">
      <c r="A556" s="18"/>
      <c r="B556" s="11"/>
      <c r="C556" s="11"/>
      <c r="D556" s="11"/>
      <c r="E556" s="11"/>
      <c r="F556" s="11"/>
      <c r="G556" s="11"/>
      <c r="H556" s="11"/>
      <c r="I556" s="11"/>
      <c r="J556" s="11"/>
      <c r="K556" s="11"/>
      <c r="L556" s="15"/>
      <c r="M556" s="15"/>
      <c r="N556" s="15"/>
      <c r="O556" s="15"/>
      <c r="P556" s="15"/>
      <c r="Q556" s="11"/>
      <c r="R556" s="11"/>
      <c r="S556" s="11"/>
      <c r="T556" s="11"/>
      <c r="U556" s="15"/>
      <c r="V556" s="11"/>
      <c r="W556" s="11"/>
      <c r="X556" s="11"/>
      <c r="Y556" s="11"/>
      <c r="Z556" s="11"/>
    </row>
    <row r="557">
      <c r="A557" s="18"/>
      <c r="B557" s="11"/>
      <c r="C557" s="11"/>
      <c r="D557" s="11"/>
      <c r="E557" s="11"/>
      <c r="F557" s="11"/>
      <c r="G557" s="11"/>
      <c r="H557" s="11"/>
      <c r="I557" s="11"/>
      <c r="J557" s="11"/>
      <c r="K557" s="11"/>
      <c r="L557" s="15"/>
      <c r="M557" s="15"/>
      <c r="N557" s="15"/>
      <c r="O557" s="15"/>
      <c r="P557" s="15"/>
      <c r="Q557" s="11"/>
      <c r="R557" s="11"/>
      <c r="S557" s="11"/>
      <c r="T557" s="11"/>
      <c r="U557" s="15"/>
      <c r="V557" s="11"/>
      <c r="W557" s="11"/>
      <c r="X557" s="11"/>
      <c r="Y557" s="11"/>
      <c r="Z557" s="11"/>
    </row>
    <row r="558">
      <c r="A558" s="18"/>
      <c r="B558" s="11"/>
      <c r="C558" s="11"/>
      <c r="D558" s="11"/>
      <c r="E558" s="11"/>
      <c r="F558" s="11"/>
      <c r="G558" s="11"/>
      <c r="H558" s="11"/>
      <c r="I558" s="11"/>
      <c r="J558" s="11"/>
      <c r="K558" s="11"/>
      <c r="L558" s="15"/>
      <c r="M558" s="15"/>
      <c r="N558" s="15"/>
      <c r="O558" s="15"/>
      <c r="P558" s="15"/>
      <c r="Q558" s="11"/>
      <c r="R558" s="11"/>
      <c r="S558" s="11"/>
      <c r="T558" s="11"/>
      <c r="U558" s="15"/>
      <c r="V558" s="11"/>
      <c r="W558" s="11"/>
      <c r="X558" s="11"/>
      <c r="Y558" s="11"/>
      <c r="Z558" s="11"/>
    </row>
    <row r="559">
      <c r="A559" s="18"/>
      <c r="B559" s="11"/>
      <c r="C559" s="11"/>
      <c r="D559" s="11"/>
      <c r="E559" s="11"/>
      <c r="F559" s="11"/>
      <c r="G559" s="11"/>
      <c r="H559" s="11"/>
      <c r="I559" s="11"/>
      <c r="J559" s="11"/>
      <c r="K559" s="11"/>
      <c r="L559" s="15"/>
      <c r="M559" s="15"/>
      <c r="N559" s="15"/>
      <c r="O559" s="15"/>
      <c r="P559" s="15"/>
      <c r="Q559" s="11"/>
      <c r="R559" s="11"/>
      <c r="S559" s="11"/>
      <c r="T559" s="11"/>
      <c r="U559" s="15"/>
      <c r="V559" s="11"/>
      <c r="W559" s="11"/>
      <c r="X559" s="11"/>
      <c r="Y559" s="11"/>
      <c r="Z559" s="11"/>
    </row>
    <row r="560">
      <c r="A560" s="18"/>
      <c r="B560" s="11"/>
      <c r="C560" s="11"/>
      <c r="D560" s="11"/>
      <c r="E560" s="11"/>
      <c r="F560" s="11"/>
      <c r="G560" s="11"/>
      <c r="H560" s="11"/>
      <c r="I560" s="11"/>
      <c r="J560" s="11"/>
      <c r="K560" s="11"/>
      <c r="L560" s="15"/>
      <c r="M560" s="15"/>
      <c r="N560" s="15"/>
      <c r="O560" s="15"/>
      <c r="P560" s="15"/>
      <c r="Q560" s="11"/>
      <c r="R560" s="11"/>
      <c r="S560" s="11"/>
      <c r="T560" s="11"/>
      <c r="U560" s="15"/>
      <c r="V560" s="11"/>
      <c r="W560" s="11"/>
      <c r="X560" s="11"/>
      <c r="Y560" s="11"/>
      <c r="Z560" s="11"/>
    </row>
    <row r="561">
      <c r="A561" s="18"/>
      <c r="B561" s="11"/>
      <c r="C561" s="11"/>
      <c r="D561" s="11"/>
      <c r="E561" s="11"/>
      <c r="F561" s="11"/>
      <c r="G561" s="11"/>
      <c r="H561" s="11"/>
      <c r="I561" s="11"/>
      <c r="J561" s="11"/>
      <c r="K561" s="11"/>
      <c r="L561" s="15"/>
      <c r="M561" s="15"/>
      <c r="N561" s="15"/>
      <c r="O561" s="15"/>
      <c r="P561" s="15"/>
      <c r="Q561" s="11"/>
      <c r="R561" s="11"/>
      <c r="S561" s="11"/>
      <c r="T561" s="11"/>
      <c r="U561" s="15"/>
      <c r="V561" s="11"/>
      <c r="W561" s="11"/>
      <c r="X561" s="11"/>
      <c r="Y561" s="11"/>
      <c r="Z561" s="11"/>
    </row>
    <row r="562">
      <c r="A562" s="18"/>
      <c r="B562" s="11"/>
      <c r="C562" s="11"/>
      <c r="D562" s="11"/>
      <c r="E562" s="11"/>
      <c r="F562" s="11"/>
      <c r="G562" s="11"/>
      <c r="H562" s="11"/>
      <c r="I562" s="11"/>
      <c r="J562" s="11"/>
      <c r="K562" s="11"/>
      <c r="L562" s="15"/>
      <c r="M562" s="15"/>
      <c r="N562" s="15"/>
      <c r="O562" s="15"/>
      <c r="P562" s="15"/>
      <c r="Q562" s="11"/>
      <c r="R562" s="11"/>
      <c r="S562" s="11"/>
      <c r="T562" s="11"/>
      <c r="U562" s="15"/>
      <c r="V562" s="11"/>
      <c r="W562" s="11"/>
      <c r="X562" s="11"/>
      <c r="Y562" s="11"/>
      <c r="Z562" s="11"/>
    </row>
    <row r="563">
      <c r="A563" s="18"/>
      <c r="B563" s="11"/>
      <c r="C563" s="11"/>
      <c r="D563" s="11"/>
      <c r="E563" s="11"/>
      <c r="F563" s="11"/>
      <c r="G563" s="11"/>
      <c r="H563" s="11"/>
      <c r="I563" s="11"/>
      <c r="J563" s="11"/>
      <c r="K563" s="11"/>
      <c r="L563" s="15"/>
      <c r="M563" s="15"/>
      <c r="N563" s="15"/>
      <c r="O563" s="15"/>
      <c r="P563" s="15"/>
      <c r="Q563" s="11"/>
      <c r="R563" s="11"/>
      <c r="S563" s="11"/>
      <c r="T563" s="11"/>
      <c r="U563" s="15"/>
      <c r="V563" s="11"/>
      <c r="W563" s="11"/>
      <c r="X563" s="11"/>
      <c r="Y563" s="11"/>
      <c r="Z563" s="11"/>
    </row>
    <row r="564">
      <c r="A564" s="18"/>
      <c r="B564" s="11"/>
      <c r="C564" s="11"/>
      <c r="D564" s="11"/>
      <c r="E564" s="11"/>
      <c r="F564" s="11"/>
      <c r="G564" s="11"/>
      <c r="H564" s="11"/>
      <c r="I564" s="11"/>
      <c r="J564" s="11"/>
      <c r="K564" s="11"/>
      <c r="L564" s="15"/>
      <c r="M564" s="15"/>
      <c r="N564" s="15"/>
      <c r="O564" s="15"/>
      <c r="P564" s="15"/>
      <c r="Q564" s="11"/>
      <c r="R564" s="11"/>
      <c r="S564" s="11"/>
      <c r="T564" s="11"/>
      <c r="U564" s="15"/>
      <c r="V564" s="11"/>
      <c r="W564" s="11"/>
      <c r="X564" s="11"/>
      <c r="Y564" s="11"/>
      <c r="Z564" s="11"/>
    </row>
    <row r="565">
      <c r="A565" s="18"/>
      <c r="B565" s="11"/>
      <c r="C565" s="11"/>
      <c r="D565" s="11"/>
      <c r="E565" s="11"/>
      <c r="F565" s="11"/>
      <c r="G565" s="11"/>
      <c r="H565" s="11"/>
      <c r="I565" s="11"/>
      <c r="J565" s="11"/>
      <c r="K565" s="11"/>
      <c r="L565" s="15"/>
      <c r="M565" s="15"/>
      <c r="N565" s="15"/>
      <c r="O565" s="15"/>
      <c r="P565" s="15"/>
      <c r="Q565" s="11"/>
      <c r="R565" s="11"/>
      <c r="S565" s="11"/>
      <c r="T565" s="11"/>
      <c r="U565" s="15"/>
      <c r="V565" s="11"/>
      <c r="W565" s="11"/>
      <c r="X565" s="11"/>
      <c r="Y565" s="11"/>
      <c r="Z565" s="11"/>
    </row>
    <row r="566">
      <c r="A566" s="18"/>
      <c r="B566" s="11"/>
      <c r="C566" s="11"/>
      <c r="D566" s="11"/>
      <c r="E566" s="11"/>
      <c r="F566" s="11"/>
      <c r="G566" s="11"/>
      <c r="H566" s="11"/>
      <c r="I566" s="11"/>
      <c r="J566" s="11"/>
      <c r="K566" s="11"/>
      <c r="L566" s="15"/>
      <c r="M566" s="15"/>
      <c r="N566" s="15"/>
      <c r="O566" s="15"/>
      <c r="P566" s="15"/>
      <c r="Q566" s="11"/>
      <c r="R566" s="11"/>
      <c r="S566" s="11"/>
      <c r="T566" s="11"/>
      <c r="U566" s="15"/>
      <c r="V566" s="11"/>
      <c r="W566" s="11"/>
      <c r="X566" s="11"/>
      <c r="Y566" s="11"/>
      <c r="Z566" s="11"/>
    </row>
    <row r="567">
      <c r="A567" s="18"/>
      <c r="B567" s="11"/>
      <c r="C567" s="11"/>
      <c r="D567" s="11"/>
      <c r="E567" s="11"/>
      <c r="F567" s="11"/>
      <c r="G567" s="11"/>
      <c r="H567" s="11"/>
      <c r="I567" s="11"/>
      <c r="J567" s="11"/>
      <c r="K567" s="11"/>
      <c r="L567" s="15"/>
      <c r="M567" s="15"/>
      <c r="N567" s="15"/>
      <c r="O567" s="15"/>
      <c r="P567" s="15"/>
      <c r="Q567" s="11"/>
      <c r="R567" s="11"/>
      <c r="S567" s="11"/>
      <c r="T567" s="11"/>
      <c r="U567" s="15"/>
      <c r="V567" s="11"/>
      <c r="W567" s="11"/>
      <c r="X567" s="11"/>
      <c r="Y567" s="11"/>
      <c r="Z567" s="11"/>
    </row>
    <row r="568">
      <c r="A568" s="18"/>
      <c r="B568" s="11"/>
      <c r="C568" s="11"/>
      <c r="D568" s="11"/>
      <c r="E568" s="11"/>
      <c r="F568" s="11"/>
      <c r="G568" s="11"/>
      <c r="H568" s="11"/>
      <c r="I568" s="11"/>
      <c r="J568" s="11"/>
      <c r="K568" s="11"/>
      <c r="L568" s="15"/>
      <c r="M568" s="15"/>
      <c r="N568" s="15"/>
      <c r="O568" s="15"/>
      <c r="P568" s="15"/>
      <c r="Q568" s="11"/>
      <c r="R568" s="11"/>
      <c r="S568" s="11"/>
      <c r="T568" s="11"/>
      <c r="U568" s="15"/>
      <c r="V568" s="11"/>
      <c r="W568" s="11"/>
      <c r="X568" s="11"/>
      <c r="Y568" s="11"/>
      <c r="Z568" s="11"/>
    </row>
    <row r="569">
      <c r="A569" s="18"/>
      <c r="B569" s="11"/>
      <c r="C569" s="11"/>
      <c r="D569" s="11"/>
      <c r="E569" s="11"/>
      <c r="F569" s="11"/>
      <c r="G569" s="11"/>
      <c r="H569" s="11"/>
      <c r="I569" s="11"/>
      <c r="J569" s="11"/>
      <c r="K569" s="11"/>
      <c r="L569" s="15"/>
      <c r="M569" s="15"/>
      <c r="N569" s="15"/>
      <c r="O569" s="15"/>
      <c r="P569" s="15"/>
      <c r="Q569" s="11"/>
      <c r="R569" s="11"/>
      <c r="S569" s="11"/>
      <c r="T569" s="11"/>
      <c r="U569" s="15"/>
      <c r="V569" s="11"/>
      <c r="W569" s="11"/>
      <c r="X569" s="11"/>
      <c r="Y569" s="11"/>
      <c r="Z569" s="11"/>
    </row>
    <row r="570">
      <c r="A570" s="18"/>
      <c r="B570" s="11"/>
      <c r="C570" s="11"/>
      <c r="D570" s="11"/>
      <c r="E570" s="11"/>
      <c r="F570" s="11"/>
      <c r="G570" s="11"/>
      <c r="H570" s="11"/>
      <c r="I570" s="11"/>
      <c r="J570" s="11"/>
      <c r="K570" s="11"/>
      <c r="L570" s="15"/>
      <c r="M570" s="15"/>
      <c r="N570" s="15"/>
      <c r="O570" s="15"/>
      <c r="P570" s="15"/>
      <c r="Q570" s="11"/>
      <c r="R570" s="11"/>
      <c r="S570" s="11"/>
      <c r="T570" s="11"/>
      <c r="U570" s="15"/>
      <c r="V570" s="11"/>
      <c r="W570" s="11"/>
      <c r="X570" s="11"/>
      <c r="Y570" s="11"/>
      <c r="Z570" s="11"/>
    </row>
    <row r="571">
      <c r="A571" s="18"/>
      <c r="B571" s="11"/>
      <c r="C571" s="11"/>
      <c r="D571" s="11"/>
      <c r="E571" s="11"/>
      <c r="F571" s="11"/>
      <c r="G571" s="11"/>
      <c r="H571" s="11"/>
      <c r="I571" s="11"/>
      <c r="J571" s="11"/>
      <c r="K571" s="11"/>
      <c r="L571" s="15"/>
      <c r="M571" s="15"/>
      <c r="N571" s="15"/>
      <c r="O571" s="15"/>
      <c r="P571" s="15"/>
      <c r="Q571" s="11"/>
      <c r="R571" s="11"/>
      <c r="S571" s="11"/>
      <c r="T571" s="11"/>
      <c r="U571" s="15"/>
      <c r="V571" s="11"/>
      <c r="W571" s="11"/>
      <c r="X571" s="11"/>
      <c r="Y571" s="11"/>
      <c r="Z571" s="11"/>
    </row>
    <row r="572">
      <c r="A572" s="18"/>
      <c r="B572" s="11"/>
      <c r="C572" s="11"/>
      <c r="D572" s="11"/>
      <c r="E572" s="11"/>
      <c r="F572" s="11"/>
      <c r="G572" s="11"/>
      <c r="H572" s="11"/>
      <c r="I572" s="11"/>
      <c r="J572" s="11"/>
      <c r="K572" s="11"/>
      <c r="L572" s="15"/>
      <c r="M572" s="15"/>
      <c r="N572" s="15"/>
      <c r="O572" s="15"/>
      <c r="P572" s="15"/>
      <c r="Q572" s="11"/>
      <c r="R572" s="11"/>
      <c r="S572" s="11"/>
      <c r="T572" s="11"/>
      <c r="U572" s="15"/>
      <c r="V572" s="11"/>
      <c r="W572" s="11"/>
      <c r="X572" s="11"/>
      <c r="Y572" s="11"/>
      <c r="Z572" s="11"/>
    </row>
    <row r="573">
      <c r="A573" s="18"/>
      <c r="B573" s="11"/>
      <c r="C573" s="11"/>
      <c r="D573" s="11"/>
      <c r="E573" s="11"/>
      <c r="F573" s="11"/>
      <c r="G573" s="11"/>
      <c r="H573" s="11"/>
      <c r="I573" s="11"/>
      <c r="J573" s="11"/>
      <c r="K573" s="11"/>
      <c r="L573" s="15"/>
      <c r="M573" s="15"/>
      <c r="N573" s="15"/>
      <c r="O573" s="15"/>
      <c r="P573" s="15"/>
      <c r="Q573" s="11"/>
      <c r="R573" s="11"/>
      <c r="S573" s="11"/>
      <c r="T573" s="11"/>
      <c r="U573" s="15"/>
      <c r="V573" s="11"/>
      <c r="W573" s="11"/>
      <c r="X573" s="11"/>
      <c r="Y573" s="11"/>
      <c r="Z573" s="11"/>
    </row>
    <row r="574">
      <c r="A574" s="18"/>
      <c r="B574" s="11"/>
      <c r="C574" s="11"/>
      <c r="D574" s="11"/>
      <c r="E574" s="11"/>
      <c r="F574" s="11"/>
      <c r="G574" s="11"/>
      <c r="H574" s="11"/>
      <c r="I574" s="11"/>
      <c r="J574" s="11"/>
      <c r="K574" s="11"/>
      <c r="L574" s="15"/>
      <c r="M574" s="15"/>
      <c r="N574" s="15"/>
      <c r="O574" s="15"/>
      <c r="P574" s="15"/>
      <c r="Q574" s="11"/>
      <c r="R574" s="11"/>
      <c r="S574" s="11"/>
      <c r="T574" s="11"/>
      <c r="U574" s="15"/>
      <c r="V574" s="11"/>
      <c r="W574" s="11"/>
      <c r="X574" s="11"/>
      <c r="Y574" s="11"/>
      <c r="Z574" s="11"/>
    </row>
    <row r="575">
      <c r="A575" s="18"/>
      <c r="B575" s="11"/>
      <c r="C575" s="11"/>
      <c r="D575" s="11"/>
      <c r="E575" s="11"/>
      <c r="F575" s="11"/>
      <c r="G575" s="11"/>
      <c r="H575" s="11"/>
      <c r="I575" s="11"/>
      <c r="J575" s="11"/>
      <c r="K575" s="11"/>
      <c r="L575" s="15"/>
      <c r="M575" s="15"/>
      <c r="N575" s="15"/>
      <c r="O575" s="15"/>
      <c r="P575" s="15"/>
      <c r="Q575" s="11"/>
      <c r="R575" s="11"/>
      <c r="S575" s="11"/>
      <c r="T575" s="11"/>
      <c r="U575" s="15"/>
      <c r="V575" s="11"/>
      <c r="W575" s="11"/>
      <c r="X575" s="11"/>
      <c r="Y575" s="11"/>
      <c r="Z575" s="11"/>
    </row>
    <row r="576">
      <c r="A576" s="18"/>
      <c r="B576" s="11"/>
      <c r="C576" s="11"/>
      <c r="D576" s="11"/>
      <c r="E576" s="11"/>
      <c r="F576" s="11"/>
      <c r="G576" s="11"/>
      <c r="H576" s="11"/>
      <c r="I576" s="11"/>
      <c r="J576" s="11"/>
      <c r="K576" s="11"/>
      <c r="L576" s="15"/>
      <c r="M576" s="15"/>
      <c r="N576" s="15"/>
      <c r="O576" s="15"/>
      <c r="P576" s="15"/>
      <c r="Q576" s="11"/>
      <c r="R576" s="11"/>
      <c r="S576" s="11"/>
      <c r="T576" s="11"/>
      <c r="U576" s="15"/>
      <c r="V576" s="11"/>
      <c r="W576" s="11"/>
      <c r="X576" s="11"/>
      <c r="Y576" s="11"/>
      <c r="Z576" s="11"/>
    </row>
    <row r="577">
      <c r="A577" s="18"/>
      <c r="B577" s="11"/>
      <c r="C577" s="11"/>
      <c r="D577" s="11"/>
      <c r="E577" s="11"/>
      <c r="F577" s="11"/>
      <c r="G577" s="11"/>
      <c r="H577" s="11"/>
      <c r="I577" s="11"/>
      <c r="J577" s="11"/>
      <c r="K577" s="11"/>
      <c r="L577" s="15"/>
      <c r="M577" s="15"/>
      <c r="N577" s="15"/>
      <c r="O577" s="15"/>
      <c r="P577" s="15"/>
      <c r="Q577" s="11"/>
      <c r="R577" s="11"/>
      <c r="S577" s="11"/>
      <c r="T577" s="11"/>
      <c r="U577" s="15"/>
      <c r="V577" s="11"/>
      <c r="W577" s="11"/>
      <c r="X577" s="11"/>
      <c r="Y577" s="11"/>
      <c r="Z577" s="11"/>
    </row>
    <row r="578">
      <c r="A578" s="18"/>
      <c r="B578" s="11"/>
      <c r="C578" s="11"/>
      <c r="D578" s="11"/>
      <c r="E578" s="11"/>
      <c r="F578" s="11"/>
      <c r="G578" s="11"/>
      <c r="H578" s="11"/>
      <c r="I578" s="11"/>
      <c r="J578" s="11"/>
      <c r="K578" s="11"/>
      <c r="L578" s="15"/>
      <c r="M578" s="15"/>
      <c r="N578" s="15"/>
      <c r="O578" s="15"/>
      <c r="P578" s="15"/>
      <c r="Q578" s="11"/>
      <c r="R578" s="11"/>
      <c r="S578" s="11"/>
      <c r="T578" s="11"/>
      <c r="U578" s="15"/>
      <c r="V578" s="11"/>
      <c r="W578" s="11"/>
      <c r="X578" s="11"/>
      <c r="Y578" s="11"/>
      <c r="Z578" s="11"/>
    </row>
    <row r="579">
      <c r="A579" s="18"/>
      <c r="B579" s="11"/>
      <c r="C579" s="11"/>
      <c r="D579" s="11"/>
      <c r="E579" s="11"/>
      <c r="F579" s="11"/>
      <c r="G579" s="11"/>
      <c r="H579" s="11"/>
      <c r="I579" s="11"/>
      <c r="J579" s="11"/>
      <c r="K579" s="11"/>
      <c r="L579" s="15"/>
      <c r="M579" s="15"/>
      <c r="N579" s="15"/>
      <c r="O579" s="15"/>
      <c r="P579" s="15"/>
      <c r="Q579" s="11"/>
      <c r="R579" s="11"/>
      <c r="S579" s="11"/>
      <c r="T579" s="11"/>
      <c r="U579" s="15"/>
      <c r="V579" s="11"/>
      <c r="W579" s="11"/>
      <c r="X579" s="11"/>
      <c r="Y579" s="11"/>
      <c r="Z579" s="11"/>
    </row>
    <row r="580">
      <c r="A580" s="18"/>
      <c r="B580" s="11"/>
      <c r="C580" s="11"/>
      <c r="D580" s="11"/>
      <c r="E580" s="11"/>
      <c r="F580" s="11"/>
      <c r="G580" s="11"/>
      <c r="H580" s="11"/>
      <c r="I580" s="11"/>
      <c r="J580" s="11"/>
      <c r="K580" s="11"/>
      <c r="L580" s="15"/>
      <c r="M580" s="15"/>
      <c r="N580" s="15"/>
      <c r="O580" s="15"/>
      <c r="P580" s="15"/>
      <c r="Q580" s="11"/>
      <c r="R580" s="11"/>
      <c r="S580" s="11"/>
      <c r="T580" s="11"/>
      <c r="U580" s="15"/>
      <c r="V580" s="11"/>
      <c r="W580" s="11"/>
      <c r="X580" s="11"/>
      <c r="Y580" s="11"/>
      <c r="Z580" s="11"/>
    </row>
    <row r="581">
      <c r="A581" s="18"/>
      <c r="B581" s="11"/>
      <c r="C581" s="11"/>
      <c r="D581" s="11"/>
      <c r="E581" s="11"/>
      <c r="F581" s="11"/>
      <c r="G581" s="11"/>
      <c r="H581" s="11"/>
      <c r="I581" s="11"/>
      <c r="J581" s="11"/>
      <c r="K581" s="11"/>
      <c r="L581" s="15"/>
      <c r="M581" s="15"/>
      <c r="N581" s="15"/>
      <c r="O581" s="15"/>
      <c r="P581" s="15"/>
      <c r="Q581" s="11"/>
      <c r="R581" s="11"/>
      <c r="S581" s="11"/>
      <c r="T581" s="11"/>
      <c r="U581" s="15"/>
      <c r="V581" s="11"/>
      <c r="W581" s="11"/>
      <c r="X581" s="11"/>
      <c r="Y581" s="11"/>
      <c r="Z581" s="11"/>
    </row>
    <row r="582">
      <c r="A582" s="18"/>
      <c r="B582" s="11"/>
      <c r="C582" s="11"/>
      <c r="D582" s="11"/>
      <c r="E582" s="11"/>
      <c r="F582" s="11"/>
      <c r="G582" s="11"/>
      <c r="H582" s="11"/>
      <c r="I582" s="11"/>
      <c r="J582" s="11"/>
      <c r="K582" s="11"/>
      <c r="L582" s="15"/>
      <c r="M582" s="15"/>
      <c r="N582" s="15"/>
      <c r="O582" s="15"/>
      <c r="P582" s="15"/>
      <c r="Q582" s="11"/>
      <c r="R582" s="11"/>
      <c r="S582" s="11"/>
      <c r="T582" s="11"/>
      <c r="U582" s="15"/>
      <c r="V582" s="11"/>
      <c r="W582" s="11"/>
      <c r="X582" s="11"/>
      <c r="Y582" s="11"/>
      <c r="Z582" s="11"/>
    </row>
    <row r="583">
      <c r="A583" s="18"/>
      <c r="B583" s="11"/>
      <c r="C583" s="11"/>
      <c r="D583" s="11"/>
      <c r="E583" s="11"/>
      <c r="F583" s="11"/>
      <c r="G583" s="11"/>
      <c r="H583" s="11"/>
      <c r="I583" s="11"/>
      <c r="J583" s="11"/>
      <c r="K583" s="11"/>
      <c r="L583" s="15"/>
      <c r="M583" s="15"/>
      <c r="N583" s="15"/>
      <c r="O583" s="15"/>
      <c r="P583" s="15"/>
      <c r="Q583" s="11"/>
      <c r="R583" s="11"/>
      <c r="S583" s="11"/>
      <c r="T583" s="11"/>
      <c r="U583" s="15"/>
      <c r="V583" s="11"/>
      <c r="W583" s="11"/>
      <c r="X583" s="11"/>
      <c r="Y583" s="11"/>
      <c r="Z583" s="11"/>
    </row>
    <row r="584">
      <c r="A584" s="18"/>
      <c r="B584" s="11"/>
      <c r="C584" s="11"/>
      <c r="D584" s="11"/>
      <c r="E584" s="11"/>
      <c r="F584" s="11"/>
      <c r="G584" s="11"/>
      <c r="H584" s="11"/>
      <c r="I584" s="11"/>
      <c r="J584" s="11"/>
      <c r="K584" s="11"/>
      <c r="L584" s="15"/>
      <c r="M584" s="15"/>
      <c r="N584" s="15"/>
      <c r="O584" s="15"/>
      <c r="P584" s="15"/>
      <c r="Q584" s="11"/>
      <c r="R584" s="11"/>
      <c r="S584" s="11"/>
      <c r="T584" s="11"/>
      <c r="U584" s="15"/>
      <c r="V584" s="11"/>
      <c r="W584" s="11"/>
      <c r="X584" s="11"/>
      <c r="Y584" s="11"/>
      <c r="Z584" s="11"/>
    </row>
    <row r="585">
      <c r="A585" s="18"/>
      <c r="B585" s="11"/>
      <c r="C585" s="11"/>
      <c r="D585" s="11"/>
      <c r="E585" s="11"/>
      <c r="F585" s="11"/>
      <c r="G585" s="11"/>
      <c r="H585" s="11"/>
      <c r="I585" s="11"/>
      <c r="J585" s="11"/>
      <c r="K585" s="11"/>
      <c r="L585" s="15"/>
      <c r="M585" s="15"/>
      <c r="N585" s="15"/>
      <c r="O585" s="15"/>
      <c r="P585" s="15"/>
      <c r="Q585" s="11"/>
      <c r="R585" s="11"/>
      <c r="S585" s="11"/>
      <c r="T585" s="11"/>
      <c r="U585" s="15"/>
      <c r="V585" s="11"/>
      <c r="W585" s="11"/>
      <c r="X585" s="11"/>
      <c r="Y585" s="11"/>
      <c r="Z585" s="11"/>
    </row>
    <row r="586">
      <c r="A586" s="18"/>
      <c r="B586" s="11"/>
      <c r="C586" s="11"/>
      <c r="D586" s="11"/>
      <c r="E586" s="11"/>
      <c r="F586" s="11"/>
      <c r="G586" s="11"/>
      <c r="H586" s="11"/>
      <c r="I586" s="11"/>
      <c r="J586" s="11"/>
      <c r="K586" s="11"/>
      <c r="L586" s="15"/>
      <c r="M586" s="15"/>
      <c r="N586" s="15"/>
      <c r="O586" s="15"/>
      <c r="P586" s="15"/>
      <c r="Q586" s="11"/>
      <c r="R586" s="11"/>
      <c r="S586" s="11"/>
      <c r="T586" s="11"/>
      <c r="U586" s="15"/>
      <c r="V586" s="11"/>
      <c r="W586" s="11"/>
      <c r="X586" s="11"/>
      <c r="Y586" s="11"/>
      <c r="Z586" s="11"/>
    </row>
    <row r="587">
      <c r="A587" s="18"/>
      <c r="B587" s="11"/>
      <c r="C587" s="11"/>
      <c r="D587" s="11"/>
      <c r="E587" s="11"/>
      <c r="F587" s="11"/>
      <c r="G587" s="11"/>
      <c r="H587" s="11"/>
      <c r="I587" s="11"/>
      <c r="J587" s="11"/>
      <c r="K587" s="11"/>
      <c r="L587" s="15"/>
      <c r="M587" s="15"/>
      <c r="N587" s="15"/>
      <c r="O587" s="15"/>
      <c r="P587" s="15"/>
      <c r="Q587" s="11"/>
      <c r="R587" s="11"/>
      <c r="S587" s="11"/>
      <c r="T587" s="11"/>
      <c r="U587" s="15"/>
      <c r="V587" s="11"/>
      <c r="W587" s="11"/>
      <c r="X587" s="11"/>
      <c r="Y587" s="11"/>
      <c r="Z587" s="11"/>
    </row>
    <row r="588">
      <c r="A588" s="18"/>
      <c r="B588" s="11"/>
      <c r="C588" s="11"/>
      <c r="D588" s="11"/>
      <c r="E588" s="11"/>
      <c r="F588" s="11"/>
      <c r="G588" s="11"/>
      <c r="H588" s="11"/>
      <c r="I588" s="11"/>
      <c r="J588" s="11"/>
      <c r="K588" s="11"/>
      <c r="L588" s="15"/>
      <c r="M588" s="15"/>
      <c r="N588" s="15"/>
      <c r="O588" s="15"/>
      <c r="P588" s="15"/>
      <c r="Q588" s="11"/>
      <c r="R588" s="11"/>
      <c r="S588" s="11"/>
      <c r="T588" s="11"/>
      <c r="U588" s="15"/>
      <c r="V588" s="11"/>
      <c r="W588" s="11"/>
      <c r="X588" s="11"/>
      <c r="Y588" s="11"/>
      <c r="Z588" s="11"/>
    </row>
    <row r="589">
      <c r="A589" s="18"/>
      <c r="B589" s="11"/>
      <c r="C589" s="11"/>
      <c r="D589" s="11"/>
      <c r="E589" s="11"/>
      <c r="F589" s="11"/>
      <c r="G589" s="11"/>
      <c r="H589" s="11"/>
      <c r="I589" s="11"/>
      <c r="J589" s="11"/>
      <c r="K589" s="11"/>
      <c r="L589" s="15"/>
      <c r="M589" s="15"/>
      <c r="N589" s="15"/>
      <c r="O589" s="15"/>
      <c r="P589" s="15"/>
      <c r="Q589" s="11"/>
      <c r="R589" s="11"/>
      <c r="S589" s="11"/>
      <c r="T589" s="11"/>
      <c r="U589" s="15"/>
      <c r="V589" s="11"/>
      <c r="W589" s="11"/>
      <c r="X589" s="11"/>
      <c r="Y589" s="11"/>
      <c r="Z589" s="11"/>
    </row>
    <row r="590">
      <c r="A590" s="18"/>
      <c r="B590" s="11"/>
      <c r="C590" s="11"/>
      <c r="D590" s="11"/>
      <c r="E590" s="11"/>
      <c r="F590" s="11"/>
      <c r="G590" s="11"/>
      <c r="H590" s="11"/>
      <c r="I590" s="11"/>
      <c r="J590" s="11"/>
      <c r="K590" s="11"/>
      <c r="L590" s="15"/>
      <c r="M590" s="15"/>
      <c r="N590" s="15"/>
      <c r="O590" s="15"/>
      <c r="P590" s="15"/>
      <c r="Q590" s="11"/>
      <c r="R590" s="11"/>
      <c r="S590" s="11"/>
      <c r="T590" s="11"/>
      <c r="U590" s="15"/>
      <c r="V590" s="11"/>
      <c r="W590" s="11"/>
      <c r="X590" s="11"/>
      <c r="Y590" s="11"/>
      <c r="Z590" s="11"/>
    </row>
    <row r="591">
      <c r="A591" s="18"/>
      <c r="B591" s="11"/>
      <c r="C591" s="11"/>
      <c r="D591" s="11"/>
      <c r="E591" s="11"/>
      <c r="F591" s="11"/>
      <c r="G591" s="11"/>
      <c r="H591" s="11"/>
      <c r="I591" s="11"/>
      <c r="J591" s="11"/>
      <c r="K591" s="11"/>
      <c r="L591" s="15"/>
      <c r="M591" s="15"/>
      <c r="N591" s="15"/>
      <c r="O591" s="15"/>
      <c r="P591" s="15"/>
      <c r="Q591" s="11"/>
      <c r="R591" s="11"/>
      <c r="S591" s="11"/>
      <c r="T591" s="11"/>
      <c r="U591" s="15"/>
      <c r="V591" s="11"/>
      <c r="W591" s="11"/>
      <c r="X591" s="11"/>
      <c r="Y591" s="11"/>
      <c r="Z591" s="11"/>
    </row>
    <row r="592">
      <c r="A592" s="18"/>
      <c r="B592" s="11"/>
      <c r="C592" s="11"/>
      <c r="D592" s="11"/>
      <c r="E592" s="11"/>
      <c r="F592" s="11"/>
      <c r="G592" s="11"/>
      <c r="H592" s="11"/>
      <c r="I592" s="11"/>
      <c r="J592" s="11"/>
      <c r="K592" s="11"/>
      <c r="L592" s="15"/>
      <c r="M592" s="15"/>
      <c r="N592" s="15"/>
      <c r="O592" s="15"/>
      <c r="P592" s="15"/>
      <c r="Q592" s="11"/>
      <c r="R592" s="11"/>
      <c r="S592" s="11"/>
      <c r="T592" s="11"/>
      <c r="U592" s="15"/>
      <c r="V592" s="11"/>
      <c r="W592" s="11"/>
      <c r="X592" s="11"/>
      <c r="Y592" s="11"/>
      <c r="Z592" s="11"/>
    </row>
    <row r="593">
      <c r="A593" s="18"/>
      <c r="B593" s="11"/>
      <c r="C593" s="11"/>
      <c r="D593" s="11"/>
      <c r="E593" s="11"/>
      <c r="F593" s="11"/>
      <c r="G593" s="11"/>
      <c r="H593" s="11"/>
      <c r="I593" s="11"/>
      <c r="J593" s="11"/>
      <c r="K593" s="11"/>
      <c r="L593" s="15"/>
      <c r="M593" s="15"/>
      <c r="N593" s="15"/>
      <c r="O593" s="15"/>
      <c r="P593" s="15"/>
      <c r="Q593" s="11"/>
      <c r="R593" s="11"/>
      <c r="S593" s="11"/>
      <c r="T593" s="11"/>
      <c r="U593" s="15"/>
      <c r="V593" s="11"/>
      <c r="W593" s="11"/>
      <c r="X593" s="11"/>
      <c r="Y593" s="11"/>
      <c r="Z593" s="11"/>
    </row>
    <row r="594">
      <c r="A594" s="18"/>
      <c r="B594" s="11"/>
      <c r="C594" s="11"/>
      <c r="D594" s="11"/>
      <c r="E594" s="11"/>
      <c r="F594" s="11"/>
      <c r="G594" s="11"/>
      <c r="H594" s="11"/>
      <c r="I594" s="11"/>
      <c r="J594" s="11"/>
      <c r="K594" s="11"/>
      <c r="L594" s="15"/>
      <c r="M594" s="15"/>
      <c r="N594" s="15"/>
      <c r="O594" s="15"/>
      <c r="P594" s="15"/>
      <c r="Q594" s="11"/>
      <c r="R594" s="11"/>
      <c r="S594" s="11"/>
      <c r="T594" s="11"/>
      <c r="U594" s="15"/>
      <c r="V594" s="11"/>
      <c r="W594" s="11"/>
      <c r="X594" s="11"/>
      <c r="Y594" s="11"/>
      <c r="Z594" s="11"/>
    </row>
    <row r="595">
      <c r="A595" s="18"/>
      <c r="B595" s="11"/>
      <c r="C595" s="11"/>
      <c r="D595" s="11"/>
      <c r="E595" s="11"/>
      <c r="F595" s="11"/>
      <c r="G595" s="11"/>
      <c r="H595" s="11"/>
      <c r="I595" s="11"/>
      <c r="J595" s="11"/>
      <c r="K595" s="11"/>
      <c r="L595" s="15"/>
      <c r="M595" s="15"/>
      <c r="N595" s="15"/>
      <c r="O595" s="15"/>
      <c r="P595" s="15"/>
      <c r="Q595" s="11"/>
      <c r="R595" s="11"/>
      <c r="S595" s="11"/>
      <c r="T595" s="11"/>
      <c r="U595" s="15"/>
      <c r="V595" s="11"/>
      <c r="W595" s="11"/>
      <c r="X595" s="11"/>
      <c r="Y595" s="11"/>
      <c r="Z595" s="11"/>
    </row>
    <row r="596">
      <c r="A596" s="18"/>
      <c r="B596" s="11"/>
      <c r="C596" s="11"/>
      <c r="D596" s="11"/>
      <c r="E596" s="11"/>
      <c r="F596" s="11"/>
      <c r="G596" s="11"/>
      <c r="H596" s="11"/>
      <c r="I596" s="11"/>
      <c r="J596" s="11"/>
      <c r="K596" s="11"/>
      <c r="L596" s="15"/>
      <c r="M596" s="15"/>
      <c r="N596" s="15"/>
      <c r="O596" s="15"/>
      <c r="P596" s="15"/>
      <c r="Q596" s="11"/>
      <c r="R596" s="11"/>
      <c r="S596" s="11"/>
      <c r="T596" s="11"/>
      <c r="U596" s="15"/>
      <c r="V596" s="11"/>
      <c r="W596" s="11"/>
      <c r="X596" s="11"/>
      <c r="Y596" s="11"/>
      <c r="Z596" s="11"/>
    </row>
    <row r="597">
      <c r="A597" s="18"/>
      <c r="B597" s="11"/>
      <c r="C597" s="11"/>
      <c r="D597" s="11"/>
      <c r="E597" s="11"/>
      <c r="F597" s="11"/>
      <c r="G597" s="11"/>
      <c r="H597" s="11"/>
      <c r="I597" s="11"/>
      <c r="J597" s="11"/>
      <c r="K597" s="11"/>
      <c r="L597" s="15"/>
      <c r="M597" s="15"/>
      <c r="N597" s="15"/>
      <c r="O597" s="15"/>
      <c r="P597" s="15"/>
      <c r="Q597" s="11"/>
      <c r="R597" s="11"/>
      <c r="S597" s="11"/>
      <c r="T597" s="11"/>
      <c r="U597" s="15"/>
      <c r="V597" s="11"/>
      <c r="W597" s="11"/>
      <c r="X597" s="11"/>
      <c r="Y597" s="11"/>
      <c r="Z597" s="11"/>
    </row>
    <row r="598">
      <c r="A598" s="18"/>
      <c r="B598" s="11"/>
      <c r="C598" s="11"/>
      <c r="D598" s="11"/>
      <c r="E598" s="11"/>
      <c r="F598" s="11"/>
      <c r="G598" s="11"/>
      <c r="H598" s="11"/>
      <c r="I598" s="11"/>
      <c r="J598" s="11"/>
      <c r="K598" s="11"/>
      <c r="L598" s="15"/>
      <c r="M598" s="15"/>
      <c r="N598" s="15"/>
      <c r="O598" s="15"/>
      <c r="P598" s="15"/>
      <c r="Q598" s="11"/>
      <c r="R598" s="11"/>
      <c r="S598" s="11"/>
      <c r="T598" s="11"/>
      <c r="U598" s="15"/>
      <c r="V598" s="11"/>
      <c r="W598" s="11"/>
      <c r="X598" s="11"/>
      <c r="Y598" s="11"/>
      <c r="Z598" s="11"/>
    </row>
    <row r="599">
      <c r="A599" s="18"/>
      <c r="B599" s="11"/>
      <c r="C599" s="11"/>
      <c r="D599" s="11"/>
      <c r="E599" s="11"/>
      <c r="F599" s="11"/>
      <c r="G599" s="11"/>
      <c r="H599" s="11"/>
      <c r="I599" s="11"/>
      <c r="J599" s="11"/>
      <c r="K599" s="11"/>
      <c r="L599" s="15"/>
      <c r="M599" s="15"/>
      <c r="N599" s="15"/>
      <c r="O599" s="15"/>
      <c r="P599" s="15"/>
      <c r="Q599" s="11"/>
      <c r="R599" s="11"/>
      <c r="S599" s="11"/>
      <c r="T599" s="11"/>
      <c r="U599" s="15"/>
      <c r="V599" s="11"/>
      <c r="W599" s="11"/>
      <c r="X599" s="11"/>
      <c r="Y599" s="11"/>
      <c r="Z599" s="11"/>
    </row>
    <row r="600">
      <c r="A600" s="18"/>
      <c r="B600" s="11"/>
      <c r="C600" s="11"/>
      <c r="D600" s="11"/>
      <c r="E600" s="11"/>
      <c r="F600" s="11"/>
      <c r="G600" s="11"/>
      <c r="H600" s="11"/>
      <c r="I600" s="11"/>
      <c r="J600" s="11"/>
      <c r="K600" s="11"/>
      <c r="L600" s="15"/>
      <c r="M600" s="15"/>
      <c r="N600" s="15"/>
      <c r="O600" s="15"/>
      <c r="P600" s="15"/>
      <c r="Q600" s="11"/>
      <c r="R600" s="11"/>
      <c r="S600" s="11"/>
      <c r="T600" s="11"/>
      <c r="U600" s="15"/>
      <c r="V600" s="11"/>
      <c r="W600" s="11"/>
      <c r="X600" s="11"/>
      <c r="Y600" s="11"/>
      <c r="Z600" s="11"/>
    </row>
    <row r="601">
      <c r="A601" s="18"/>
      <c r="B601" s="11"/>
      <c r="C601" s="11"/>
      <c r="D601" s="11"/>
      <c r="E601" s="11"/>
      <c r="F601" s="11"/>
      <c r="G601" s="11"/>
      <c r="H601" s="11"/>
      <c r="I601" s="11"/>
      <c r="J601" s="11"/>
      <c r="K601" s="11"/>
      <c r="L601" s="15"/>
      <c r="M601" s="15"/>
      <c r="N601" s="15"/>
      <c r="O601" s="15"/>
      <c r="P601" s="15"/>
      <c r="Q601" s="11"/>
      <c r="R601" s="11"/>
      <c r="S601" s="11"/>
      <c r="T601" s="11"/>
      <c r="U601" s="15"/>
      <c r="V601" s="11"/>
      <c r="W601" s="11"/>
      <c r="X601" s="11"/>
      <c r="Y601" s="11"/>
      <c r="Z601" s="11"/>
    </row>
    <row r="602">
      <c r="A602" s="18"/>
      <c r="B602" s="11"/>
      <c r="C602" s="11"/>
      <c r="D602" s="11"/>
      <c r="E602" s="11"/>
      <c r="F602" s="11"/>
      <c r="G602" s="11"/>
      <c r="H602" s="11"/>
      <c r="I602" s="11"/>
      <c r="J602" s="11"/>
      <c r="K602" s="11"/>
      <c r="L602" s="15"/>
      <c r="M602" s="15"/>
      <c r="N602" s="15"/>
      <c r="O602" s="15"/>
      <c r="P602" s="15"/>
      <c r="Q602" s="11"/>
      <c r="R602" s="11"/>
      <c r="S602" s="11"/>
      <c r="T602" s="11"/>
      <c r="U602" s="15"/>
      <c r="V602" s="11"/>
      <c r="W602" s="11"/>
      <c r="X602" s="11"/>
      <c r="Y602" s="11"/>
      <c r="Z602" s="11"/>
    </row>
    <row r="603">
      <c r="A603" s="18"/>
      <c r="B603" s="11"/>
      <c r="C603" s="11"/>
      <c r="D603" s="11"/>
      <c r="E603" s="11"/>
      <c r="F603" s="11"/>
      <c r="G603" s="11"/>
      <c r="H603" s="11"/>
      <c r="I603" s="11"/>
      <c r="J603" s="11"/>
      <c r="K603" s="11"/>
      <c r="L603" s="15"/>
      <c r="M603" s="15"/>
      <c r="N603" s="15"/>
      <c r="O603" s="15"/>
      <c r="P603" s="15"/>
      <c r="Q603" s="11"/>
      <c r="R603" s="11"/>
      <c r="S603" s="11"/>
      <c r="T603" s="11"/>
      <c r="U603" s="15"/>
      <c r="V603" s="11"/>
      <c r="W603" s="11"/>
      <c r="X603" s="11"/>
      <c r="Y603" s="11"/>
      <c r="Z603" s="11"/>
    </row>
    <row r="604">
      <c r="A604" s="18"/>
      <c r="B604" s="11"/>
      <c r="C604" s="11"/>
      <c r="D604" s="11"/>
      <c r="E604" s="11"/>
      <c r="F604" s="11"/>
      <c r="G604" s="11"/>
      <c r="H604" s="11"/>
      <c r="I604" s="11"/>
      <c r="J604" s="11"/>
      <c r="K604" s="11"/>
      <c r="L604" s="15"/>
      <c r="M604" s="15"/>
      <c r="N604" s="15"/>
      <c r="O604" s="15"/>
      <c r="P604" s="15"/>
      <c r="Q604" s="11"/>
      <c r="R604" s="11"/>
      <c r="S604" s="11"/>
      <c r="T604" s="11"/>
      <c r="U604" s="15"/>
      <c r="V604" s="11"/>
      <c r="W604" s="11"/>
      <c r="X604" s="11"/>
      <c r="Y604" s="11"/>
      <c r="Z604" s="11"/>
    </row>
    <row r="605">
      <c r="A605" s="18"/>
      <c r="B605" s="11"/>
      <c r="C605" s="11"/>
      <c r="D605" s="11"/>
      <c r="E605" s="11"/>
      <c r="F605" s="11"/>
      <c r="G605" s="11"/>
      <c r="H605" s="11"/>
      <c r="I605" s="11"/>
      <c r="J605" s="11"/>
      <c r="K605" s="11"/>
      <c r="L605" s="15"/>
      <c r="M605" s="15"/>
      <c r="N605" s="15"/>
      <c r="O605" s="15"/>
      <c r="P605" s="15"/>
      <c r="Q605" s="11"/>
      <c r="R605" s="11"/>
      <c r="S605" s="11"/>
      <c r="T605" s="11"/>
      <c r="U605" s="15"/>
      <c r="V605" s="11"/>
      <c r="W605" s="11"/>
      <c r="X605" s="11"/>
      <c r="Y605" s="11"/>
      <c r="Z605" s="11"/>
    </row>
    <row r="606">
      <c r="A606" s="18"/>
      <c r="B606" s="11"/>
      <c r="C606" s="11"/>
      <c r="D606" s="11"/>
      <c r="E606" s="11"/>
      <c r="F606" s="11"/>
      <c r="G606" s="11"/>
      <c r="H606" s="11"/>
      <c r="I606" s="11"/>
      <c r="J606" s="11"/>
      <c r="K606" s="11"/>
      <c r="L606" s="15"/>
      <c r="M606" s="15"/>
      <c r="N606" s="15"/>
      <c r="O606" s="15"/>
      <c r="P606" s="15"/>
      <c r="Q606" s="11"/>
      <c r="R606" s="11"/>
      <c r="S606" s="11"/>
      <c r="T606" s="11"/>
      <c r="U606" s="15"/>
      <c r="V606" s="11"/>
      <c r="W606" s="11"/>
      <c r="X606" s="11"/>
      <c r="Y606" s="11"/>
      <c r="Z606" s="11"/>
    </row>
    <row r="607">
      <c r="A607" s="18"/>
      <c r="B607" s="11"/>
      <c r="C607" s="11"/>
      <c r="D607" s="11"/>
      <c r="E607" s="11"/>
      <c r="F607" s="11"/>
      <c r="G607" s="11"/>
      <c r="H607" s="11"/>
      <c r="I607" s="11"/>
      <c r="J607" s="11"/>
      <c r="K607" s="11"/>
      <c r="L607" s="15"/>
      <c r="M607" s="15"/>
      <c r="N607" s="15"/>
      <c r="O607" s="15"/>
      <c r="P607" s="15"/>
      <c r="Q607" s="11"/>
      <c r="R607" s="11"/>
      <c r="S607" s="11"/>
      <c r="T607" s="11"/>
      <c r="U607" s="15"/>
      <c r="V607" s="11"/>
      <c r="W607" s="11"/>
      <c r="X607" s="11"/>
      <c r="Y607" s="11"/>
      <c r="Z607" s="11"/>
    </row>
    <row r="608">
      <c r="A608" s="18"/>
      <c r="B608" s="11"/>
      <c r="C608" s="11"/>
      <c r="D608" s="11"/>
      <c r="E608" s="11"/>
      <c r="F608" s="11"/>
      <c r="G608" s="11"/>
      <c r="H608" s="11"/>
      <c r="I608" s="11"/>
      <c r="J608" s="11"/>
      <c r="K608" s="11"/>
      <c r="L608" s="15"/>
      <c r="M608" s="15"/>
      <c r="N608" s="15"/>
      <c r="O608" s="15"/>
      <c r="P608" s="15"/>
      <c r="Q608" s="11"/>
      <c r="R608" s="11"/>
      <c r="S608" s="11"/>
      <c r="T608" s="11"/>
      <c r="U608" s="15"/>
      <c r="V608" s="11"/>
      <c r="W608" s="11"/>
      <c r="X608" s="11"/>
      <c r="Y608" s="11"/>
      <c r="Z608" s="11"/>
    </row>
    <row r="609">
      <c r="A609" s="18"/>
      <c r="B609" s="11"/>
      <c r="C609" s="11"/>
      <c r="D609" s="11"/>
      <c r="E609" s="11"/>
      <c r="F609" s="11"/>
      <c r="G609" s="11"/>
      <c r="H609" s="11"/>
      <c r="I609" s="11"/>
      <c r="J609" s="11"/>
      <c r="K609" s="11"/>
      <c r="L609" s="15"/>
      <c r="M609" s="15"/>
      <c r="N609" s="15"/>
      <c r="O609" s="15"/>
      <c r="P609" s="15"/>
      <c r="Q609" s="11"/>
      <c r="R609" s="11"/>
      <c r="S609" s="11"/>
      <c r="T609" s="11"/>
      <c r="U609" s="15"/>
      <c r="V609" s="11"/>
      <c r="W609" s="11"/>
      <c r="X609" s="11"/>
      <c r="Y609" s="11"/>
      <c r="Z609" s="11"/>
    </row>
    <row r="610">
      <c r="A610" s="18"/>
      <c r="B610" s="11"/>
      <c r="C610" s="11"/>
      <c r="D610" s="11"/>
      <c r="E610" s="11"/>
      <c r="F610" s="11"/>
      <c r="G610" s="11"/>
      <c r="H610" s="11"/>
      <c r="I610" s="11"/>
      <c r="J610" s="11"/>
      <c r="K610" s="11"/>
      <c r="L610" s="15"/>
      <c r="M610" s="15"/>
      <c r="N610" s="15"/>
      <c r="O610" s="15"/>
      <c r="P610" s="15"/>
      <c r="Q610" s="11"/>
      <c r="R610" s="11"/>
      <c r="S610" s="11"/>
      <c r="T610" s="11"/>
      <c r="U610" s="15"/>
      <c r="V610" s="11"/>
      <c r="W610" s="11"/>
      <c r="X610" s="11"/>
      <c r="Y610" s="11"/>
      <c r="Z610" s="11"/>
    </row>
    <row r="611">
      <c r="A611" s="18"/>
      <c r="B611" s="11"/>
      <c r="C611" s="11"/>
      <c r="D611" s="11"/>
      <c r="E611" s="11"/>
      <c r="F611" s="11"/>
      <c r="G611" s="11"/>
      <c r="H611" s="11"/>
      <c r="I611" s="11"/>
      <c r="J611" s="11"/>
      <c r="K611" s="11"/>
      <c r="L611" s="15"/>
      <c r="M611" s="15"/>
      <c r="N611" s="15"/>
      <c r="O611" s="15"/>
      <c r="P611" s="15"/>
      <c r="Q611" s="11"/>
      <c r="R611" s="11"/>
      <c r="S611" s="11"/>
      <c r="T611" s="11"/>
      <c r="U611" s="15"/>
      <c r="V611" s="11"/>
      <c r="W611" s="11"/>
      <c r="X611" s="11"/>
      <c r="Y611" s="11"/>
      <c r="Z611" s="11"/>
    </row>
    <row r="612">
      <c r="A612" s="18"/>
      <c r="B612" s="11"/>
      <c r="C612" s="11"/>
      <c r="D612" s="11"/>
      <c r="E612" s="11"/>
      <c r="F612" s="11"/>
      <c r="G612" s="11"/>
      <c r="H612" s="11"/>
      <c r="I612" s="11"/>
      <c r="J612" s="11"/>
      <c r="K612" s="11"/>
      <c r="L612" s="15"/>
      <c r="M612" s="15"/>
      <c r="N612" s="15"/>
      <c r="O612" s="15"/>
      <c r="P612" s="15"/>
      <c r="Q612" s="11"/>
      <c r="R612" s="11"/>
      <c r="S612" s="11"/>
      <c r="T612" s="11"/>
      <c r="U612" s="15"/>
      <c r="V612" s="11"/>
      <c r="W612" s="11"/>
      <c r="X612" s="11"/>
      <c r="Y612" s="11"/>
      <c r="Z612" s="11"/>
    </row>
    <row r="613">
      <c r="A613" s="18"/>
      <c r="B613" s="11"/>
      <c r="C613" s="11"/>
      <c r="D613" s="11"/>
      <c r="E613" s="11"/>
      <c r="F613" s="11"/>
      <c r="G613" s="11"/>
      <c r="H613" s="11"/>
      <c r="I613" s="11"/>
      <c r="J613" s="11"/>
      <c r="K613" s="11"/>
      <c r="L613" s="15"/>
      <c r="M613" s="15"/>
      <c r="N613" s="15"/>
      <c r="O613" s="15"/>
      <c r="P613" s="15"/>
      <c r="Q613" s="11"/>
      <c r="R613" s="11"/>
      <c r="S613" s="11"/>
      <c r="T613" s="11"/>
      <c r="U613" s="15"/>
      <c r="V613" s="11"/>
      <c r="W613" s="11"/>
      <c r="X613" s="11"/>
      <c r="Y613" s="11"/>
      <c r="Z613" s="11"/>
    </row>
    <row r="614">
      <c r="A614" s="18"/>
      <c r="B614" s="11"/>
      <c r="C614" s="11"/>
      <c r="D614" s="11"/>
      <c r="E614" s="11"/>
      <c r="F614" s="11"/>
      <c r="G614" s="11"/>
      <c r="H614" s="11"/>
      <c r="I614" s="11"/>
      <c r="J614" s="11"/>
      <c r="K614" s="11"/>
      <c r="L614" s="15"/>
      <c r="M614" s="15"/>
      <c r="N614" s="15"/>
      <c r="O614" s="15"/>
      <c r="P614" s="15"/>
      <c r="Q614" s="11"/>
      <c r="R614" s="11"/>
      <c r="S614" s="11"/>
      <c r="T614" s="11"/>
      <c r="U614" s="15"/>
      <c r="V614" s="11"/>
      <c r="W614" s="11"/>
      <c r="X614" s="11"/>
      <c r="Y614" s="11"/>
      <c r="Z614" s="11"/>
    </row>
    <row r="615">
      <c r="A615" s="18"/>
      <c r="B615" s="11"/>
      <c r="C615" s="11"/>
      <c r="D615" s="11"/>
      <c r="E615" s="11"/>
      <c r="F615" s="11"/>
      <c r="G615" s="11"/>
      <c r="H615" s="11"/>
      <c r="I615" s="11"/>
      <c r="J615" s="11"/>
      <c r="K615" s="11"/>
      <c r="L615" s="15"/>
      <c r="M615" s="15"/>
      <c r="N615" s="15"/>
      <c r="O615" s="15"/>
      <c r="P615" s="15"/>
      <c r="Q615" s="11"/>
      <c r="R615" s="11"/>
      <c r="S615" s="11"/>
      <c r="T615" s="11"/>
      <c r="U615" s="15"/>
      <c r="V615" s="11"/>
      <c r="W615" s="11"/>
      <c r="X615" s="11"/>
      <c r="Y615" s="11"/>
      <c r="Z615" s="11"/>
    </row>
    <row r="616">
      <c r="A616" s="18"/>
      <c r="B616" s="11"/>
      <c r="C616" s="11"/>
      <c r="D616" s="11"/>
      <c r="E616" s="11"/>
      <c r="F616" s="11"/>
      <c r="G616" s="11"/>
      <c r="H616" s="11"/>
      <c r="I616" s="11"/>
      <c r="J616" s="11"/>
      <c r="K616" s="11"/>
      <c r="L616" s="15"/>
      <c r="M616" s="15"/>
      <c r="N616" s="15"/>
      <c r="O616" s="15"/>
      <c r="P616" s="15"/>
      <c r="Q616" s="11"/>
      <c r="R616" s="11"/>
      <c r="S616" s="11"/>
      <c r="T616" s="11"/>
      <c r="U616" s="15"/>
      <c r="V616" s="11"/>
      <c r="W616" s="11"/>
      <c r="X616" s="11"/>
      <c r="Y616" s="11"/>
      <c r="Z616" s="11"/>
    </row>
    <row r="617">
      <c r="A617" s="18"/>
      <c r="B617" s="11"/>
      <c r="C617" s="11"/>
      <c r="D617" s="11"/>
      <c r="E617" s="11"/>
      <c r="F617" s="11"/>
      <c r="G617" s="11"/>
      <c r="H617" s="11"/>
      <c r="I617" s="11"/>
      <c r="J617" s="11"/>
      <c r="K617" s="11"/>
      <c r="L617" s="15"/>
      <c r="M617" s="15"/>
      <c r="N617" s="15"/>
      <c r="O617" s="15"/>
      <c r="P617" s="15"/>
      <c r="Q617" s="11"/>
      <c r="R617" s="11"/>
      <c r="S617" s="11"/>
      <c r="T617" s="11"/>
      <c r="U617" s="15"/>
      <c r="V617" s="11"/>
      <c r="W617" s="11"/>
      <c r="X617" s="11"/>
      <c r="Y617" s="11"/>
      <c r="Z617" s="11"/>
    </row>
    <row r="618">
      <c r="A618" s="18"/>
      <c r="B618" s="11"/>
      <c r="C618" s="11"/>
      <c r="D618" s="11"/>
      <c r="E618" s="11"/>
      <c r="F618" s="11"/>
      <c r="G618" s="11"/>
      <c r="H618" s="11"/>
      <c r="I618" s="11"/>
      <c r="J618" s="11"/>
      <c r="K618" s="11"/>
      <c r="L618" s="15"/>
      <c r="M618" s="15"/>
      <c r="N618" s="15"/>
      <c r="O618" s="15"/>
      <c r="P618" s="15"/>
      <c r="Q618" s="11"/>
      <c r="R618" s="11"/>
      <c r="S618" s="11"/>
      <c r="T618" s="11"/>
      <c r="U618" s="15"/>
      <c r="V618" s="11"/>
      <c r="W618" s="11"/>
      <c r="X618" s="11"/>
      <c r="Y618" s="11"/>
      <c r="Z618" s="11"/>
    </row>
    <row r="619">
      <c r="A619" s="18"/>
      <c r="B619" s="11"/>
      <c r="C619" s="11"/>
      <c r="D619" s="11"/>
      <c r="E619" s="11"/>
      <c r="F619" s="11"/>
      <c r="G619" s="11"/>
      <c r="H619" s="11"/>
      <c r="I619" s="11"/>
      <c r="J619" s="11"/>
      <c r="K619" s="11"/>
      <c r="L619" s="15"/>
      <c r="M619" s="15"/>
      <c r="N619" s="15"/>
      <c r="O619" s="15"/>
      <c r="P619" s="15"/>
      <c r="Q619" s="11"/>
      <c r="R619" s="11"/>
      <c r="S619" s="11"/>
      <c r="T619" s="11"/>
      <c r="U619" s="15"/>
      <c r="V619" s="11"/>
      <c r="W619" s="11"/>
      <c r="X619" s="11"/>
      <c r="Y619" s="11"/>
      <c r="Z619" s="11"/>
    </row>
    <row r="620">
      <c r="A620" s="18"/>
      <c r="B620" s="11"/>
      <c r="C620" s="11"/>
      <c r="D620" s="11"/>
      <c r="E620" s="11"/>
      <c r="F620" s="11"/>
      <c r="G620" s="11"/>
      <c r="H620" s="11"/>
      <c r="I620" s="11"/>
      <c r="J620" s="11"/>
      <c r="K620" s="11"/>
      <c r="L620" s="15"/>
      <c r="M620" s="15"/>
      <c r="N620" s="15"/>
      <c r="O620" s="15"/>
      <c r="P620" s="15"/>
      <c r="Q620" s="11"/>
      <c r="R620" s="11"/>
      <c r="S620" s="11"/>
      <c r="T620" s="11"/>
      <c r="U620" s="15"/>
      <c r="V620" s="11"/>
      <c r="W620" s="11"/>
      <c r="X620" s="11"/>
      <c r="Y620" s="11"/>
      <c r="Z620" s="11"/>
    </row>
    <row r="621">
      <c r="A621" s="18"/>
      <c r="B621" s="11"/>
      <c r="C621" s="11"/>
      <c r="D621" s="11"/>
      <c r="E621" s="11"/>
      <c r="F621" s="11"/>
      <c r="G621" s="11"/>
      <c r="H621" s="11"/>
      <c r="I621" s="11"/>
      <c r="J621" s="11"/>
      <c r="K621" s="11"/>
      <c r="L621" s="15"/>
      <c r="M621" s="15"/>
      <c r="N621" s="15"/>
      <c r="O621" s="15"/>
      <c r="P621" s="15"/>
      <c r="Q621" s="11"/>
      <c r="R621" s="11"/>
      <c r="S621" s="11"/>
      <c r="T621" s="11"/>
      <c r="U621" s="15"/>
      <c r="V621" s="11"/>
      <c r="W621" s="11"/>
      <c r="X621" s="11"/>
      <c r="Y621" s="11"/>
      <c r="Z621" s="11"/>
    </row>
    <row r="622">
      <c r="A622" s="18"/>
      <c r="B622" s="11"/>
      <c r="C622" s="11"/>
      <c r="D622" s="11"/>
      <c r="E622" s="11"/>
      <c r="F622" s="11"/>
      <c r="G622" s="11"/>
      <c r="H622" s="11"/>
      <c r="I622" s="11"/>
      <c r="J622" s="11"/>
      <c r="K622" s="11"/>
      <c r="L622" s="15"/>
      <c r="M622" s="15"/>
      <c r="N622" s="15"/>
      <c r="O622" s="15"/>
      <c r="P622" s="15"/>
      <c r="Q622" s="11"/>
      <c r="R622" s="11"/>
      <c r="S622" s="11"/>
      <c r="T622" s="11"/>
      <c r="U622" s="15"/>
      <c r="V622" s="11"/>
      <c r="W622" s="11"/>
      <c r="X622" s="11"/>
      <c r="Y622" s="11"/>
      <c r="Z622" s="11"/>
    </row>
    <row r="623">
      <c r="A623" s="18"/>
      <c r="B623" s="11"/>
      <c r="C623" s="11"/>
      <c r="D623" s="11"/>
      <c r="E623" s="11"/>
      <c r="F623" s="11"/>
      <c r="G623" s="11"/>
      <c r="H623" s="11"/>
      <c r="I623" s="11"/>
      <c r="J623" s="11"/>
      <c r="K623" s="11"/>
      <c r="L623" s="15"/>
      <c r="M623" s="15"/>
      <c r="N623" s="15"/>
      <c r="O623" s="15"/>
      <c r="P623" s="15"/>
      <c r="Q623" s="11"/>
      <c r="R623" s="11"/>
      <c r="S623" s="11"/>
      <c r="T623" s="11"/>
      <c r="U623" s="15"/>
      <c r="V623" s="11"/>
      <c r="W623" s="11"/>
      <c r="X623" s="11"/>
      <c r="Y623" s="11"/>
      <c r="Z623" s="11"/>
    </row>
    <row r="624">
      <c r="A624" s="18"/>
      <c r="B624" s="11"/>
      <c r="C624" s="11"/>
      <c r="D624" s="11"/>
      <c r="E624" s="11"/>
      <c r="F624" s="11"/>
      <c r="G624" s="11"/>
      <c r="H624" s="11"/>
      <c r="I624" s="11"/>
      <c r="J624" s="11"/>
      <c r="K624" s="11"/>
      <c r="L624" s="15"/>
      <c r="M624" s="15"/>
      <c r="N624" s="15"/>
      <c r="O624" s="15"/>
      <c r="P624" s="15"/>
      <c r="Q624" s="11"/>
      <c r="R624" s="11"/>
      <c r="S624" s="11"/>
      <c r="T624" s="11"/>
      <c r="U624" s="15"/>
      <c r="V624" s="11"/>
      <c r="W624" s="11"/>
      <c r="X624" s="11"/>
      <c r="Y624" s="11"/>
      <c r="Z624" s="11"/>
    </row>
    <row r="625">
      <c r="A625" s="18"/>
      <c r="B625" s="11"/>
      <c r="C625" s="11"/>
      <c r="D625" s="11"/>
      <c r="E625" s="11"/>
      <c r="F625" s="11"/>
      <c r="G625" s="11"/>
      <c r="H625" s="11"/>
      <c r="I625" s="11"/>
      <c r="J625" s="11"/>
      <c r="K625" s="11"/>
      <c r="L625" s="15"/>
      <c r="M625" s="15"/>
      <c r="N625" s="15"/>
      <c r="O625" s="15"/>
      <c r="P625" s="15"/>
      <c r="Q625" s="11"/>
      <c r="R625" s="11"/>
      <c r="S625" s="11"/>
      <c r="T625" s="11"/>
      <c r="U625" s="15"/>
      <c r="V625" s="11"/>
      <c r="W625" s="11"/>
      <c r="X625" s="11"/>
      <c r="Y625" s="11"/>
      <c r="Z625" s="11"/>
    </row>
    <row r="626">
      <c r="A626" s="18"/>
      <c r="B626" s="11"/>
      <c r="C626" s="11"/>
      <c r="D626" s="11"/>
      <c r="E626" s="11"/>
      <c r="F626" s="11"/>
      <c r="G626" s="11"/>
      <c r="H626" s="11"/>
      <c r="I626" s="11"/>
      <c r="J626" s="11"/>
      <c r="K626" s="11"/>
      <c r="L626" s="15"/>
      <c r="M626" s="15"/>
      <c r="N626" s="15"/>
      <c r="O626" s="15"/>
      <c r="P626" s="15"/>
      <c r="Q626" s="11"/>
      <c r="R626" s="11"/>
      <c r="S626" s="11"/>
      <c r="T626" s="11"/>
      <c r="U626" s="15"/>
      <c r="V626" s="11"/>
      <c r="W626" s="11"/>
      <c r="X626" s="11"/>
      <c r="Y626" s="11"/>
      <c r="Z626" s="11"/>
    </row>
    <row r="627">
      <c r="A627" s="18"/>
      <c r="B627" s="11"/>
      <c r="C627" s="11"/>
      <c r="D627" s="11"/>
      <c r="E627" s="11"/>
      <c r="F627" s="11"/>
      <c r="G627" s="11"/>
      <c r="H627" s="11"/>
      <c r="I627" s="11"/>
      <c r="J627" s="11"/>
      <c r="K627" s="11"/>
      <c r="L627" s="15"/>
      <c r="M627" s="15"/>
      <c r="N627" s="15"/>
      <c r="O627" s="15"/>
      <c r="P627" s="15"/>
      <c r="Q627" s="11"/>
      <c r="R627" s="11"/>
      <c r="S627" s="11"/>
      <c r="T627" s="11"/>
      <c r="U627" s="15"/>
      <c r="V627" s="11"/>
      <c r="W627" s="11"/>
      <c r="X627" s="11"/>
      <c r="Y627" s="11"/>
      <c r="Z627" s="11"/>
    </row>
    <row r="628">
      <c r="A628" s="18"/>
      <c r="B628" s="11"/>
      <c r="C628" s="11"/>
      <c r="D628" s="11"/>
      <c r="E628" s="11"/>
      <c r="F628" s="11"/>
      <c r="G628" s="11"/>
      <c r="H628" s="11"/>
      <c r="I628" s="11"/>
      <c r="J628" s="11"/>
      <c r="K628" s="11"/>
      <c r="L628" s="15"/>
      <c r="M628" s="15"/>
      <c r="N628" s="15"/>
      <c r="O628" s="15"/>
      <c r="P628" s="15"/>
      <c r="Q628" s="11"/>
      <c r="R628" s="11"/>
      <c r="S628" s="11"/>
      <c r="T628" s="11"/>
      <c r="U628" s="15"/>
      <c r="V628" s="11"/>
      <c r="W628" s="11"/>
      <c r="X628" s="11"/>
      <c r="Y628" s="11"/>
      <c r="Z628" s="11"/>
    </row>
    <row r="629">
      <c r="A629" s="18"/>
      <c r="B629" s="11"/>
      <c r="C629" s="11"/>
      <c r="D629" s="11"/>
      <c r="E629" s="11"/>
      <c r="F629" s="11"/>
      <c r="G629" s="11"/>
      <c r="H629" s="11"/>
      <c r="I629" s="11"/>
      <c r="J629" s="11"/>
      <c r="K629" s="11"/>
      <c r="L629" s="15"/>
      <c r="M629" s="15"/>
      <c r="N629" s="15"/>
      <c r="O629" s="15"/>
      <c r="P629" s="15"/>
      <c r="Q629" s="11"/>
      <c r="R629" s="11"/>
      <c r="S629" s="11"/>
      <c r="T629" s="11"/>
      <c r="U629" s="15"/>
      <c r="V629" s="11"/>
      <c r="W629" s="11"/>
      <c r="X629" s="11"/>
      <c r="Y629" s="11"/>
      <c r="Z629" s="11"/>
    </row>
    <row r="630">
      <c r="A630" s="18"/>
      <c r="B630" s="11"/>
      <c r="C630" s="11"/>
      <c r="D630" s="11"/>
      <c r="E630" s="11"/>
      <c r="F630" s="11"/>
      <c r="G630" s="11"/>
      <c r="H630" s="11"/>
      <c r="I630" s="11"/>
      <c r="J630" s="11"/>
      <c r="K630" s="11"/>
      <c r="L630" s="15"/>
      <c r="M630" s="15"/>
      <c r="N630" s="15"/>
      <c r="O630" s="15"/>
      <c r="P630" s="15"/>
      <c r="Q630" s="11"/>
      <c r="R630" s="11"/>
      <c r="S630" s="11"/>
      <c r="T630" s="11"/>
      <c r="U630" s="15"/>
      <c r="V630" s="11"/>
      <c r="W630" s="11"/>
      <c r="X630" s="11"/>
      <c r="Y630" s="11"/>
      <c r="Z630" s="11"/>
    </row>
    <row r="631">
      <c r="A631" s="18"/>
      <c r="B631" s="11"/>
      <c r="C631" s="11"/>
      <c r="D631" s="11"/>
      <c r="E631" s="11"/>
      <c r="F631" s="11"/>
      <c r="G631" s="11"/>
      <c r="H631" s="11"/>
      <c r="I631" s="11"/>
      <c r="J631" s="11"/>
      <c r="K631" s="11"/>
      <c r="L631" s="15"/>
      <c r="M631" s="15"/>
      <c r="N631" s="15"/>
      <c r="O631" s="15"/>
      <c r="P631" s="15"/>
      <c r="Q631" s="11"/>
      <c r="R631" s="11"/>
      <c r="S631" s="11"/>
      <c r="T631" s="11"/>
      <c r="U631" s="15"/>
      <c r="V631" s="11"/>
      <c r="W631" s="11"/>
      <c r="X631" s="11"/>
      <c r="Y631" s="11"/>
      <c r="Z631" s="11"/>
    </row>
    <row r="632">
      <c r="A632" s="18"/>
      <c r="B632" s="11"/>
      <c r="C632" s="11"/>
      <c r="D632" s="11"/>
      <c r="E632" s="11"/>
      <c r="F632" s="11"/>
      <c r="G632" s="11"/>
      <c r="H632" s="11"/>
      <c r="I632" s="11"/>
      <c r="J632" s="11"/>
      <c r="K632" s="11"/>
      <c r="L632" s="15"/>
      <c r="M632" s="15"/>
      <c r="N632" s="15"/>
      <c r="O632" s="15"/>
      <c r="P632" s="15"/>
      <c r="Q632" s="11"/>
      <c r="R632" s="11"/>
      <c r="S632" s="11"/>
      <c r="T632" s="11"/>
      <c r="U632" s="15"/>
      <c r="V632" s="11"/>
      <c r="W632" s="11"/>
      <c r="X632" s="11"/>
      <c r="Y632" s="11"/>
      <c r="Z632" s="11"/>
    </row>
    <row r="633">
      <c r="A633" s="18"/>
      <c r="B633" s="11"/>
      <c r="C633" s="11"/>
      <c r="D633" s="11"/>
      <c r="E633" s="11"/>
      <c r="F633" s="11"/>
      <c r="G633" s="11"/>
      <c r="H633" s="11"/>
      <c r="I633" s="11"/>
      <c r="J633" s="11"/>
      <c r="K633" s="11"/>
      <c r="L633" s="15"/>
      <c r="M633" s="15"/>
      <c r="N633" s="15"/>
      <c r="O633" s="15"/>
      <c r="P633" s="15"/>
      <c r="Q633" s="11"/>
      <c r="R633" s="11"/>
      <c r="S633" s="11"/>
      <c r="T633" s="11"/>
      <c r="U633" s="15"/>
      <c r="V633" s="11"/>
      <c r="W633" s="11"/>
      <c r="X633" s="11"/>
      <c r="Y633" s="11"/>
      <c r="Z633" s="11"/>
    </row>
    <row r="634">
      <c r="A634" s="18"/>
      <c r="B634" s="11"/>
      <c r="C634" s="11"/>
      <c r="D634" s="11"/>
      <c r="E634" s="11"/>
      <c r="F634" s="11"/>
      <c r="G634" s="11"/>
      <c r="H634" s="11"/>
      <c r="I634" s="11"/>
      <c r="J634" s="11"/>
      <c r="K634" s="11"/>
      <c r="L634" s="15"/>
      <c r="M634" s="15"/>
      <c r="N634" s="15"/>
      <c r="O634" s="15"/>
      <c r="P634" s="15"/>
      <c r="Q634" s="11"/>
      <c r="R634" s="11"/>
      <c r="S634" s="11"/>
      <c r="T634" s="11"/>
      <c r="U634" s="15"/>
      <c r="V634" s="11"/>
      <c r="W634" s="11"/>
      <c r="X634" s="11"/>
      <c r="Y634" s="11"/>
      <c r="Z634" s="11"/>
    </row>
    <row r="635">
      <c r="A635" s="18"/>
      <c r="B635" s="11"/>
      <c r="C635" s="11"/>
      <c r="D635" s="11"/>
      <c r="E635" s="11"/>
      <c r="F635" s="11"/>
      <c r="G635" s="11"/>
      <c r="H635" s="11"/>
      <c r="I635" s="11"/>
      <c r="J635" s="11"/>
      <c r="K635" s="11"/>
      <c r="L635" s="15"/>
      <c r="M635" s="15"/>
      <c r="N635" s="15"/>
      <c r="O635" s="15"/>
      <c r="P635" s="15"/>
      <c r="Q635" s="11"/>
      <c r="R635" s="11"/>
      <c r="S635" s="11"/>
      <c r="T635" s="11"/>
      <c r="U635" s="15"/>
      <c r="V635" s="11"/>
      <c r="W635" s="11"/>
      <c r="X635" s="11"/>
      <c r="Y635" s="11"/>
      <c r="Z635" s="11"/>
    </row>
    <row r="636">
      <c r="A636" s="18"/>
      <c r="B636" s="11"/>
      <c r="C636" s="11"/>
      <c r="D636" s="11"/>
      <c r="E636" s="11"/>
      <c r="F636" s="11"/>
      <c r="G636" s="11"/>
      <c r="H636" s="11"/>
      <c r="I636" s="11"/>
      <c r="J636" s="11"/>
      <c r="K636" s="11"/>
      <c r="L636" s="15"/>
      <c r="M636" s="15"/>
      <c r="N636" s="15"/>
      <c r="O636" s="15"/>
      <c r="P636" s="15"/>
      <c r="Q636" s="11"/>
      <c r="R636" s="11"/>
      <c r="S636" s="11"/>
      <c r="T636" s="11"/>
      <c r="U636" s="15"/>
      <c r="V636" s="11"/>
      <c r="W636" s="11"/>
      <c r="X636" s="11"/>
      <c r="Y636" s="11"/>
      <c r="Z636" s="11"/>
    </row>
    <row r="637">
      <c r="A637" s="18"/>
      <c r="B637" s="11"/>
      <c r="C637" s="11"/>
      <c r="D637" s="11"/>
      <c r="E637" s="11"/>
      <c r="F637" s="11"/>
      <c r="G637" s="11"/>
      <c r="H637" s="11"/>
      <c r="I637" s="11"/>
      <c r="J637" s="11"/>
      <c r="K637" s="11"/>
      <c r="L637" s="15"/>
      <c r="M637" s="15"/>
      <c r="N637" s="15"/>
      <c r="O637" s="15"/>
      <c r="P637" s="15"/>
      <c r="Q637" s="11"/>
      <c r="R637" s="11"/>
      <c r="S637" s="11"/>
      <c r="T637" s="11"/>
      <c r="U637" s="15"/>
      <c r="V637" s="11"/>
      <c r="W637" s="11"/>
      <c r="X637" s="11"/>
      <c r="Y637" s="11"/>
      <c r="Z637" s="11"/>
    </row>
    <row r="638">
      <c r="A638" s="18"/>
      <c r="B638" s="11"/>
      <c r="C638" s="11"/>
      <c r="D638" s="11"/>
      <c r="E638" s="11"/>
      <c r="F638" s="11"/>
      <c r="G638" s="11"/>
      <c r="H638" s="11"/>
      <c r="I638" s="11"/>
      <c r="J638" s="11"/>
      <c r="K638" s="11"/>
      <c r="L638" s="15"/>
      <c r="M638" s="15"/>
      <c r="N638" s="15"/>
      <c r="O638" s="15"/>
      <c r="P638" s="15"/>
      <c r="Q638" s="11"/>
      <c r="R638" s="11"/>
      <c r="S638" s="11"/>
      <c r="T638" s="11"/>
      <c r="U638" s="15"/>
      <c r="V638" s="11"/>
      <c r="W638" s="11"/>
      <c r="X638" s="11"/>
      <c r="Y638" s="11"/>
      <c r="Z638" s="11"/>
    </row>
    <row r="639">
      <c r="A639" s="18"/>
      <c r="B639" s="11"/>
      <c r="C639" s="11"/>
      <c r="D639" s="11"/>
      <c r="E639" s="11"/>
      <c r="F639" s="11"/>
      <c r="G639" s="11"/>
      <c r="H639" s="11"/>
      <c r="I639" s="11"/>
      <c r="J639" s="11"/>
      <c r="K639" s="11"/>
      <c r="L639" s="15"/>
      <c r="M639" s="15"/>
      <c r="N639" s="15"/>
      <c r="O639" s="15"/>
      <c r="P639" s="15"/>
      <c r="Q639" s="11"/>
      <c r="R639" s="11"/>
      <c r="S639" s="11"/>
      <c r="T639" s="11"/>
      <c r="U639" s="15"/>
      <c r="V639" s="11"/>
      <c r="W639" s="11"/>
      <c r="X639" s="11"/>
      <c r="Y639" s="11"/>
      <c r="Z639" s="11"/>
    </row>
    <row r="640">
      <c r="A640" s="18"/>
      <c r="B640" s="11"/>
      <c r="C640" s="11"/>
      <c r="D640" s="11"/>
      <c r="E640" s="11"/>
      <c r="F640" s="11"/>
      <c r="G640" s="11"/>
      <c r="H640" s="11"/>
      <c r="I640" s="11"/>
      <c r="J640" s="11"/>
      <c r="K640" s="11"/>
      <c r="L640" s="15"/>
      <c r="M640" s="15"/>
      <c r="N640" s="15"/>
      <c r="O640" s="15"/>
      <c r="P640" s="15"/>
      <c r="Q640" s="11"/>
      <c r="R640" s="11"/>
      <c r="S640" s="11"/>
      <c r="T640" s="11"/>
      <c r="U640" s="15"/>
      <c r="V640" s="11"/>
      <c r="W640" s="11"/>
      <c r="X640" s="11"/>
      <c r="Y640" s="11"/>
      <c r="Z640" s="11"/>
    </row>
    <row r="641">
      <c r="A641" s="18"/>
      <c r="B641" s="11"/>
      <c r="C641" s="11"/>
      <c r="D641" s="11"/>
      <c r="E641" s="11"/>
      <c r="F641" s="11"/>
      <c r="G641" s="11"/>
      <c r="H641" s="11"/>
      <c r="I641" s="11"/>
      <c r="J641" s="11"/>
      <c r="K641" s="11"/>
      <c r="L641" s="15"/>
      <c r="M641" s="15"/>
      <c r="N641" s="15"/>
      <c r="O641" s="15"/>
      <c r="P641" s="15"/>
      <c r="Q641" s="11"/>
      <c r="R641" s="11"/>
      <c r="S641" s="11"/>
      <c r="T641" s="11"/>
      <c r="U641" s="15"/>
      <c r="V641" s="11"/>
      <c r="W641" s="11"/>
      <c r="X641" s="11"/>
      <c r="Y641" s="11"/>
      <c r="Z641" s="11"/>
    </row>
    <row r="642">
      <c r="A642" s="18"/>
      <c r="B642" s="11"/>
      <c r="C642" s="11"/>
      <c r="D642" s="11"/>
      <c r="E642" s="11"/>
      <c r="F642" s="11"/>
      <c r="G642" s="11"/>
      <c r="H642" s="11"/>
      <c r="I642" s="11"/>
      <c r="J642" s="11"/>
      <c r="K642" s="11"/>
      <c r="L642" s="15"/>
      <c r="M642" s="15"/>
      <c r="N642" s="15"/>
      <c r="O642" s="15"/>
      <c r="P642" s="15"/>
      <c r="Q642" s="11"/>
      <c r="R642" s="11"/>
      <c r="S642" s="11"/>
      <c r="T642" s="11"/>
      <c r="U642" s="15"/>
      <c r="V642" s="11"/>
      <c r="W642" s="11"/>
      <c r="X642" s="11"/>
      <c r="Y642" s="11"/>
      <c r="Z642" s="11"/>
    </row>
    <row r="643">
      <c r="A643" s="18"/>
      <c r="B643" s="11"/>
      <c r="C643" s="11"/>
      <c r="D643" s="11"/>
      <c r="E643" s="11"/>
      <c r="F643" s="11"/>
      <c r="G643" s="11"/>
      <c r="H643" s="11"/>
      <c r="I643" s="11"/>
      <c r="J643" s="11"/>
      <c r="K643" s="11"/>
      <c r="L643" s="15"/>
      <c r="M643" s="15"/>
      <c r="N643" s="15"/>
      <c r="O643" s="15"/>
      <c r="P643" s="15"/>
      <c r="Q643" s="11"/>
      <c r="R643" s="11"/>
      <c r="S643" s="11"/>
      <c r="T643" s="11"/>
      <c r="U643" s="15"/>
      <c r="V643" s="11"/>
      <c r="W643" s="11"/>
      <c r="X643" s="11"/>
      <c r="Y643" s="11"/>
      <c r="Z643" s="11"/>
    </row>
    <row r="644">
      <c r="A644" s="18"/>
      <c r="B644" s="11"/>
      <c r="C644" s="11"/>
      <c r="D644" s="11"/>
      <c r="E644" s="11"/>
      <c r="F644" s="11"/>
      <c r="G644" s="11"/>
      <c r="H644" s="11"/>
      <c r="I644" s="11"/>
      <c r="J644" s="11"/>
      <c r="K644" s="11"/>
      <c r="L644" s="15"/>
      <c r="M644" s="15"/>
      <c r="N644" s="15"/>
      <c r="O644" s="15"/>
      <c r="P644" s="15"/>
      <c r="Q644" s="11"/>
      <c r="R644" s="11"/>
      <c r="S644" s="11"/>
      <c r="T644" s="11"/>
      <c r="U644" s="15"/>
      <c r="V644" s="11"/>
      <c r="W644" s="11"/>
      <c r="X644" s="11"/>
      <c r="Y644" s="11"/>
      <c r="Z644" s="11"/>
    </row>
    <row r="645">
      <c r="A645" s="18"/>
      <c r="B645" s="11"/>
      <c r="C645" s="11"/>
      <c r="D645" s="11"/>
      <c r="E645" s="11"/>
      <c r="F645" s="11"/>
      <c r="G645" s="11"/>
      <c r="H645" s="11"/>
      <c r="I645" s="11"/>
      <c r="J645" s="11"/>
      <c r="K645" s="11"/>
      <c r="L645" s="15"/>
      <c r="M645" s="15"/>
      <c r="N645" s="15"/>
      <c r="O645" s="15"/>
      <c r="P645" s="15"/>
      <c r="Q645" s="11"/>
      <c r="R645" s="11"/>
      <c r="S645" s="11"/>
      <c r="T645" s="11"/>
      <c r="U645" s="15"/>
      <c r="V645" s="11"/>
      <c r="W645" s="11"/>
      <c r="X645" s="11"/>
      <c r="Y645" s="11"/>
      <c r="Z645" s="11"/>
    </row>
    <row r="646">
      <c r="A646" s="18"/>
      <c r="B646" s="11"/>
      <c r="C646" s="11"/>
      <c r="D646" s="11"/>
      <c r="E646" s="11"/>
      <c r="F646" s="11"/>
      <c r="G646" s="11"/>
      <c r="H646" s="11"/>
      <c r="I646" s="11"/>
      <c r="J646" s="11"/>
      <c r="K646" s="11"/>
      <c r="L646" s="15"/>
      <c r="M646" s="15"/>
      <c r="N646" s="15"/>
      <c r="O646" s="15"/>
      <c r="P646" s="15"/>
      <c r="Q646" s="11"/>
      <c r="R646" s="11"/>
      <c r="S646" s="11"/>
      <c r="T646" s="11"/>
      <c r="U646" s="15"/>
      <c r="V646" s="11"/>
      <c r="W646" s="11"/>
      <c r="X646" s="11"/>
      <c r="Y646" s="11"/>
      <c r="Z646" s="11"/>
    </row>
    <row r="647">
      <c r="A647" s="18"/>
      <c r="B647" s="11"/>
      <c r="C647" s="11"/>
      <c r="D647" s="11"/>
      <c r="E647" s="11"/>
      <c r="F647" s="11"/>
      <c r="G647" s="11"/>
      <c r="H647" s="11"/>
      <c r="I647" s="11"/>
      <c r="J647" s="11"/>
      <c r="K647" s="11"/>
      <c r="L647" s="15"/>
      <c r="M647" s="15"/>
      <c r="N647" s="15"/>
      <c r="O647" s="15"/>
      <c r="P647" s="15"/>
      <c r="Q647" s="11"/>
      <c r="R647" s="11"/>
      <c r="S647" s="11"/>
      <c r="T647" s="11"/>
      <c r="U647" s="15"/>
      <c r="V647" s="11"/>
      <c r="W647" s="11"/>
      <c r="X647" s="11"/>
      <c r="Y647" s="11"/>
      <c r="Z647" s="11"/>
    </row>
    <row r="648">
      <c r="A648" s="18"/>
      <c r="B648" s="11"/>
      <c r="C648" s="11"/>
      <c r="D648" s="11"/>
      <c r="E648" s="11"/>
      <c r="F648" s="11"/>
      <c r="G648" s="11"/>
      <c r="H648" s="11"/>
      <c r="I648" s="11"/>
      <c r="J648" s="11"/>
      <c r="K648" s="11"/>
      <c r="L648" s="15"/>
      <c r="M648" s="15"/>
      <c r="N648" s="15"/>
      <c r="O648" s="15"/>
      <c r="P648" s="15"/>
      <c r="Q648" s="11"/>
      <c r="R648" s="11"/>
      <c r="S648" s="11"/>
      <c r="T648" s="11"/>
      <c r="U648" s="15"/>
      <c r="V648" s="11"/>
      <c r="W648" s="11"/>
      <c r="X648" s="11"/>
      <c r="Y648" s="11"/>
      <c r="Z648" s="11"/>
    </row>
    <row r="649">
      <c r="A649" s="18"/>
      <c r="B649" s="11"/>
      <c r="C649" s="11"/>
      <c r="D649" s="11"/>
      <c r="E649" s="11"/>
      <c r="F649" s="11"/>
      <c r="G649" s="11"/>
      <c r="H649" s="11"/>
      <c r="I649" s="11"/>
      <c r="J649" s="11"/>
      <c r="K649" s="11"/>
      <c r="L649" s="15"/>
      <c r="M649" s="15"/>
      <c r="N649" s="15"/>
      <c r="O649" s="15"/>
      <c r="P649" s="15"/>
      <c r="Q649" s="11"/>
      <c r="R649" s="11"/>
      <c r="S649" s="11"/>
      <c r="T649" s="11"/>
      <c r="U649" s="15"/>
      <c r="V649" s="11"/>
      <c r="W649" s="11"/>
      <c r="X649" s="11"/>
      <c r="Y649" s="11"/>
      <c r="Z649" s="11"/>
    </row>
    <row r="650">
      <c r="A650" s="18"/>
      <c r="B650" s="11"/>
      <c r="C650" s="11"/>
      <c r="D650" s="11"/>
      <c r="E650" s="11"/>
      <c r="F650" s="11"/>
      <c r="G650" s="11"/>
      <c r="H650" s="11"/>
      <c r="I650" s="11"/>
      <c r="J650" s="11"/>
      <c r="K650" s="11"/>
      <c r="L650" s="15"/>
      <c r="M650" s="15"/>
      <c r="N650" s="15"/>
      <c r="O650" s="15"/>
      <c r="P650" s="15"/>
      <c r="Q650" s="11"/>
      <c r="R650" s="11"/>
      <c r="S650" s="11"/>
      <c r="T650" s="11"/>
      <c r="U650" s="15"/>
      <c r="V650" s="11"/>
      <c r="W650" s="11"/>
      <c r="X650" s="11"/>
      <c r="Y650" s="11"/>
      <c r="Z650" s="11"/>
    </row>
    <row r="651">
      <c r="A651" s="18"/>
      <c r="B651" s="11"/>
      <c r="C651" s="11"/>
      <c r="D651" s="11"/>
      <c r="E651" s="11"/>
      <c r="F651" s="11"/>
      <c r="G651" s="11"/>
      <c r="H651" s="11"/>
      <c r="I651" s="11"/>
      <c r="J651" s="11"/>
      <c r="K651" s="11"/>
      <c r="L651" s="15"/>
      <c r="M651" s="15"/>
      <c r="N651" s="15"/>
      <c r="O651" s="15"/>
      <c r="P651" s="15"/>
      <c r="Q651" s="11"/>
      <c r="R651" s="11"/>
      <c r="S651" s="11"/>
      <c r="T651" s="11"/>
      <c r="U651" s="15"/>
      <c r="V651" s="11"/>
      <c r="W651" s="11"/>
      <c r="X651" s="11"/>
      <c r="Y651" s="11"/>
      <c r="Z651" s="11"/>
    </row>
    <row r="652">
      <c r="A652" s="18"/>
      <c r="B652" s="11"/>
      <c r="C652" s="11"/>
      <c r="D652" s="11"/>
      <c r="E652" s="11"/>
      <c r="F652" s="11"/>
      <c r="G652" s="11"/>
      <c r="H652" s="11"/>
      <c r="I652" s="11"/>
      <c r="J652" s="11"/>
      <c r="K652" s="11"/>
      <c r="L652" s="15"/>
      <c r="M652" s="15"/>
      <c r="N652" s="15"/>
      <c r="O652" s="15"/>
      <c r="P652" s="15"/>
      <c r="Q652" s="11"/>
      <c r="R652" s="11"/>
      <c r="S652" s="11"/>
      <c r="T652" s="11"/>
      <c r="U652" s="15"/>
      <c r="V652" s="11"/>
      <c r="W652" s="11"/>
      <c r="X652" s="11"/>
      <c r="Y652" s="11"/>
      <c r="Z652" s="11"/>
    </row>
    <row r="653">
      <c r="A653" s="18"/>
      <c r="B653" s="11"/>
      <c r="C653" s="11"/>
      <c r="D653" s="11"/>
      <c r="E653" s="11"/>
      <c r="F653" s="11"/>
      <c r="G653" s="11"/>
      <c r="H653" s="11"/>
      <c r="I653" s="11"/>
      <c r="J653" s="11"/>
      <c r="K653" s="11"/>
      <c r="L653" s="15"/>
      <c r="M653" s="15"/>
      <c r="N653" s="15"/>
      <c r="O653" s="15"/>
      <c r="P653" s="15"/>
      <c r="Q653" s="11"/>
      <c r="R653" s="11"/>
      <c r="S653" s="11"/>
      <c r="T653" s="11"/>
      <c r="U653" s="15"/>
      <c r="V653" s="11"/>
      <c r="W653" s="11"/>
      <c r="X653" s="11"/>
      <c r="Y653" s="11"/>
      <c r="Z653" s="11"/>
    </row>
    <row r="654">
      <c r="A654" s="18"/>
      <c r="B654" s="11"/>
      <c r="C654" s="11"/>
      <c r="D654" s="11"/>
      <c r="E654" s="11"/>
      <c r="F654" s="11"/>
      <c r="G654" s="11"/>
      <c r="H654" s="11"/>
      <c r="I654" s="11"/>
      <c r="J654" s="11"/>
      <c r="K654" s="11"/>
      <c r="L654" s="15"/>
      <c r="M654" s="15"/>
      <c r="N654" s="15"/>
      <c r="O654" s="15"/>
      <c r="P654" s="15"/>
      <c r="Q654" s="11"/>
      <c r="R654" s="11"/>
      <c r="S654" s="11"/>
      <c r="T654" s="11"/>
      <c r="U654" s="15"/>
      <c r="V654" s="11"/>
      <c r="W654" s="11"/>
      <c r="X654" s="11"/>
      <c r="Y654" s="11"/>
      <c r="Z654" s="11"/>
    </row>
    <row r="655">
      <c r="A655" s="18"/>
      <c r="B655" s="11"/>
      <c r="C655" s="11"/>
      <c r="D655" s="11"/>
      <c r="E655" s="11"/>
      <c r="F655" s="11"/>
      <c r="G655" s="11"/>
      <c r="H655" s="11"/>
      <c r="I655" s="11"/>
      <c r="J655" s="11"/>
      <c r="K655" s="11"/>
      <c r="L655" s="15"/>
      <c r="M655" s="15"/>
      <c r="N655" s="15"/>
      <c r="O655" s="15"/>
      <c r="P655" s="15"/>
      <c r="Q655" s="11"/>
      <c r="R655" s="11"/>
      <c r="S655" s="11"/>
      <c r="T655" s="11"/>
      <c r="U655" s="15"/>
      <c r="V655" s="11"/>
      <c r="W655" s="11"/>
      <c r="X655" s="11"/>
      <c r="Y655" s="11"/>
      <c r="Z655" s="11"/>
    </row>
    <row r="656">
      <c r="A656" s="18"/>
      <c r="B656" s="11"/>
      <c r="C656" s="11"/>
      <c r="D656" s="11"/>
      <c r="E656" s="11"/>
      <c r="F656" s="11"/>
      <c r="G656" s="11"/>
      <c r="H656" s="11"/>
      <c r="I656" s="11"/>
      <c r="J656" s="11"/>
      <c r="K656" s="11"/>
      <c r="L656" s="15"/>
      <c r="M656" s="15"/>
      <c r="N656" s="15"/>
      <c r="O656" s="15"/>
      <c r="P656" s="15"/>
      <c r="Q656" s="11"/>
      <c r="R656" s="11"/>
      <c r="S656" s="11"/>
      <c r="T656" s="11"/>
      <c r="U656" s="15"/>
      <c r="V656" s="11"/>
      <c r="W656" s="11"/>
      <c r="X656" s="11"/>
      <c r="Y656" s="11"/>
      <c r="Z656" s="11"/>
    </row>
    <row r="657">
      <c r="A657" s="18"/>
      <c r="B657" s="11"/>
      <c r="C657" s="11"/>
      <c r="D657" s="11"/>
      <c r="E657" s="11"/>
      <c r="F657" s="11"/>
      <c r="G657" s="11"/>
      <c r="H657" s="11"/>
      <c r="I657" s="11"/>
      <c r="J657" s="11"/>
      <c r="K657" s="11"/>
      <c r="L657" s="15"/>
      <c r="M657" s="15"/>
      <c r="N657" s="15"/>
      <c r="O657" s="15"/>
      <c r="P657" s="15"/>
      <c r="Q657" s="11"/>
      <c r="R657" s="11"/>
      <c r="S657" s="11"/>
      <c r="T657" s="11"/>
      <c r="U657" s="15"/>
      <c r="V657" s="11"/>
      <c r="W657" s="11"/>
      <c r="X657" s="11"/>
      <c r="Y657" s="11"/>
      <c r="Z657" s="11"/>
    </row>
    <row r="658">
      <c r="A658" s="18"/>
      <c r="B658" s="11"/>
      <c r="C658" s="11"/>
      <c r="D658" s="11"/>
      <c r="E658" s="11"/>
      <c r="F658" s="11"/>
      <c r="G658" s="11"/>
      <c r="H658" s="11"/>
      <c r="I658" s="11"/>
      <c r="J658" s="11"/>
      <c r="K658" s="11"/>
      <c r="L658" s="15"/>
      <c r="M658" s="15"/>
      <c r="N658" s="15"/>
      <c r="O658" s="15"/>
      <c r="P658" s="15"/>
      <c r="Q658" s="11"/>
      <c r="R658" s="11"/>
      <c r="S658" s="11"/>
      <c r="T658" s="11"/>
      <c r="U658" s="15"/>
      <c r="V658" s="11"/>
      <c r="W658" s="11"/>
      <c r="X658" s="11"/>
      <c r="Y658" s="11"/>
      <c r="Z658" s="11"/>
    </row>
    <row r="659">
      <c r="A659" s="18"/>
      <c r="B659" s="11"/>
      <c r="C659" s="11"/>
      <c r="D659" s="11"/>
      <c r="E659" s="11"/>
      <c r="F659" s="11"/>
      <c r="G659" s="11"/>
      <c r="H659" s="11"/>
      <c r="I659" s="11"/>
      <c r="J659" s="11"/>
      <c r="K659" s="11"/>
      <c r="L659" s="15"/>
      <c r="M659" s="15"/>
      <c r="N659" s="15"/>
      <c r="O659" s="15"/>
      <c r="P659" s="15"/>
      <c r="Q659" s="11"/>
      <c r="R659" s="11"/>
      <c r="S659" s="11"/>
      <c r="T659" s="11"/>
      <c r="U659" s="15"/>
      <c r="V659" s="11"/>
      <c r="W659" s="11"/>
      <c r="X659" s="11"/>
      <c r="Y659" s="11"/>
      <c r="Z659" s="11"/>
    </row>
    <row r="660">
      <c r="A660" s="18"/>
      <c r="B660" s="11"/>
      <c r="C660" s="11"/>
      <c r="D660" s="11"/>
      <c r="E660" s="11"/>
      <c r="F660" s="11"/>
      <c r="G660" s="11"/>
      <c r="H660" s="11"/>
      <c r="I660" s="11"/>
      <c r="J660" s="11"/>
      <c r="K660" s="11"/>
      <c r="L660" s="15"/>
      <c r="M660" s="15"/>
      <c r="N660" s="15"/>
      <c r="O660" s="15"/>
      <c r="P660" s="15"/>
      <c r="Q660" s="11"/>
      <c r="R660" s="11"/>
      <c r="S660" s="11"/>
      <c r="T660" s="11"/>
      <c r="U660" s="15"/>
      <c r="V660" s="11"/>
      <c r="W660" s="11"/>
      <c r="X660" s="11"/>
      <c r="Y660" s="11"/>
      <c r="Z660" s="11"/>
    </row>
    <row r="661">
      <c r="A661" s="18"/>
      <c r="B661" s="11"/>
      <c r="C661" s="11"/>
      <c r="D661" s="11"/>
      <c r="E661" s="11"/>
      <c r="F661" s="11"/>
      <c r="G661" s="11"/>
      <c r="H661" s="11"/>
      <c r="I661" s="11"/>
      <c r="J661" s="11"/>
      <c r="K661" s="11"/>
      <c r="L661" s="15"/>
      <c r="M661" s="15"/>
      <c r="N661" s="15"/>
      <c r="O661" s="15"/>
      <c r="P661" s="15"/>
      <c r="Q661" s="11"/>
      <c r="R661" s="11"/>
      <c r="S661" s="11"/>
      <c r="T661" s="11"/>
      <c r="U661" s="15"/>
      <c r="V661" s="11"/>
      <c r="W661" s="11"/>
      <c r="X661" s="11"/>
      <c r="Y661" s="11"/>
      <c r="Z661" s="11"/>
    </row>
    <row r="662">
      <c r="A662" s="18"/>
      <c r="B662" s="11"/>
      <c r="C662" s="11"/>
      <c r="D662" s="11"/>
      <c r="E662" s="11"/>
      <c r="F662" s="11"/>
      <c r="G662" s="11"/>
      <c r="H662" s="11"/>
      <c r="I662" s="11"/>
      <c r="J662" s="11"/>
      <c r="K662" s="11"/>
      <c r="L662" s="15"/>
      <c r="M662" s="15"/>
      <c r="N662" s="15"/>
      <c r="O662" s="15"/>
      <c r="P662" s="15"/>
      <c r="Q662" s="11"/>
      <c r="R662" s="11"/>
      <c r="S662" s="11"/>
      <c r="T662" s="11"/>
      <c r="U662" s="15"/>
      <c r="V662" s="11"/>
      <c r="W662" s="11"/>
      <c r="X662" s="11"/>
      <c r="Y662" s="11"/>
      <c r="Z662" s="11"/>
    </row>
    <row r="663">
      <c r="A663" s="18"/>
      <c r="B663" s="11"/>
      <c r="C663" s="11"/>
      <c r="D663" s="11"/>
      <c r="E663" s="11"/>
      <c r="F663" s="11"/>
      <c r="G663" s="11"/>
      <c r="H663" s="11"/>
      <c r="I663" s="11"/>
      <c r="J663" s="11"/>
      <c r="K663" s="11"/>
      <c r="L663" s="15"/>
      <c r="M663" s="15"/>
      <c r="N663" s="15"/>
      <c r="O663" s="15"/>
      <c r="P663" s="15"/>
      <c r="Q663" s="11"/>
      <c r="R663" s="11"/>
      <c r="S663" s="11"/>
      <c r="T663" s="11"/>
      <c r="U663" s="15"/>
      <c r="V663" s="11"/>
      <c r="W663" s="11"/>
      <c r="X663" s="11"/>
      <c r="Y663" s="11"/>
      <c r="Z663" s="11"/>
    </row>
    <row r="664">
      <c r="A664" s="18"/>
      <c r="B664" s="11"/>
      <c r="C664" s="11"/>
      <c r="D664" s="11"/>
      <c r="E664" s="11"/>
      <c r="F664" s="11"/>
      <c r="G664" s="11"/>
      <c r="H664" s="11"/>
      <c r="I664" s="11"/>
      <c r="J664" s="11"/>
      <c r="K664" s="11"/>
      <c r="L664" s="15"/>
      <c r="M664" s="15"/>
      <c r="N664" s="15"/>
      <c r="O664" s="15"/>
      <c r="P664" s="15"/>
      <c r="Q664" s="11"/>
      <c r="R664" s="11"/>
      <c r="S664" s="11"/>
      <c r="T664" s="11"/>
      <c r="U664" s="15"/>
      <c r="V664" s="11"/>
      <c r="W664" s="11"/>
      <c r="X664" s="11"/>
      <c r="Y664" s="11"/>
      <c r="Z664" s="11"/>
    </row>
    <row r="665">
      <c r="A665" s="18"/>
      <c r="B665" s="11"/>
      <c r="C665" s="11"/>
      <c r="D665" s="11"/>
      <c r="E665" s="11"/>
      <c r="F665" s="11"/>
      <c r="G665" s="11"/>
      <c r="H665" s="11"/>
      <c r="I665" s="11"/>
      <c r="J665" s="11"/>
      <c r="K665" s="11"/>
      <c r="L665" s="15"/>
      <c r="M665" s="15"/>
      <c r="N665" s="15"/>
      <c r="O665" s="15"/>
      <c r="P665" s="15"/>
      <c r="Q665" s="11"/>
      <c r="R665" s="11"/>
      <c r="S665" s="11"/>
      <c r="T665" s="11"/>
      <c r="U665" s="15"/>
      <c r="V665" s="11"/>
      <c r="W665" s="11"/>
      <c r="X665" s="11"/>
      <c r="Y665" s="11"/>
      <c r="Z665" s="11"/>
    </row>
    <row r="666">
      <c r="A666" s="18"/>
      <c r="B666" s="11"/>
      <c r="C666" s="11"/>
      <c r="D666" s="11"/>
      <c r="E666" s="11"/>
      <c r="F666" s="11"/>
      <c r="G666" s="11"/>
      <c r="H666" s="11"/>
      <c r="I666" s="11"/>
      <c r="J666" s="11"/>
      <c r="K666" s="11"/>
      <c r="L666" s="15"/>
      <c r="M666" s="15"/>
      <c r="N666" s="15"/>
      <c r="O666" s="15"/>
      <c r="P666" s="15"/>
      <c r="Q666" s="11"/>
      <c r="R666" s="11"/>
      <c r="S666" s="11"/>
      <c r="T666" s="11"/>
      <c r="U666" s="15"/>
      <c r="V666" s="11"/>
      <c r="W666" s="11"/>
      <c r="X666" s="11"/>
      <c r="Y666" s="11"/>
      <c r="Z666" s="11"/>
    </row>
    <row r="667">
      <c r="A667" s="18"/>
      <c r="B667" s="11"/>
      <c r="C667" s="11"/>
      <c r="D667" s="11"/>
      <c r="E667" s="11"/>
      <c r="F667" s="11"/>
      <c r="G667" s="11"/>
      <c r="H667" s="11"/>
      <c r="I667" s="11"/>
      <c r="J667" s="11"/>
      <c r="K667" s="11"/>
      <c r="L667" s="15"/>
      <c r="M667" s="15"/>
      <c r="N667" s="15"/>
      <c r="O667" s="15"/>
      <c r="P667" s="15"/>
      <c r="Q667" s="11"/>
      <c r="R667" s="11"/>
      <c r="S667" s="11"/>
      <c r="T667" s="11"/>
      <c r="U667" s="15"/>
      <c r="V667" s="11"/>
      <c r="W667" s="11"/>
      <c r="X667" s="11"/>
      <c r="Y667" s="11"/>
      <c r="Z667" s="11"/>
    </row>
    <row r="668">
      <c r="A668" s="18"/>
      <c r="B668" s="11"/>
      <c r="C668" s="11"/>
      <c r="D668" s="11"/>
      <c r="E668" s="11"/>
      <c r="F668" s="11"/>
      <c r="G668" s="11"/>
      <c r="H668" s="11"/>
      <c r="I668" s="11"/>
      <c r="J668" s="11"/>
      <c r="K668" s="11"/>
      <c r="L668" s="15"/>
      <c r="M668" s="15"/>
      <c r="N668" s="15"/>
      <c r="O668" s="15"/>
      <c r="P668" s="15"/>
      <c r="Q668" s="11"/>
      <c r="R668" s="11"/>
      <c r="S668" s="11"/>
      <c r="T668" s="11"/>
      <c r="U668" s="15"/>
      <c r="V668" s="11"/>
      <c r="W668" s="11"/>
      <c r="X668" s="11"/>
      <c r="Y668" s="11"/>
      <c r="Z668" s="11"/>
    </row>
    <row r="669">
      <c r="A669" s="18"/>
      <c r="B669" s="11"/>
      <c r="C669" s="11"/>
      <c r="D669" s="11"/>
      <c r="E669" s="11"/>
      <c r="F669" s="11"/>
      <c r="G669" s="11"/>
      <c r="H669" s="11"/>
      <c r="I669" s="11"/>
      <c r="J669" s="11"/>
      <c r="K669" s="11"/>
      <c r="L669" s="15"/>
      <c r="M669" s="15"/>
      <c r="N669" s="15"/>
      <c r="O669" s="15"/>
      <c r="P669" s="15"/>
      <c r="Q669" s="11"/>
      <c r="R669" s="11"/>
      <c r="S669" s="11"/>
      <c r="T669" s="11"/>
      <c r="U669" s="15"/>
      <c r="V669" s="11"/>
      <c r="W669" s="11"/>
      <c r="X669" s="11"/>
      <c r="Y669" s="11"/>
      <c r="Z669" s="11"/>
    </row>
    <row r="670">
      <c r="A670" s="18"/>
      <c r="B670" s="11"/>
      <c r="C670" s="11"/>
      <c r="D670" s="11"/>
      <c r="E670" s="11"/>
      <c r="F670" s="11"/>
      <c r="G670" s="11"/>
      <c r="H670" s="11"/>
      <c r="I670" s="11"/>
      <c r="J670" s="11"/>
      <c r="K670" s="11"/>
      <c r="L670" s="15"/>
      <c r="M670" s="15"/>
      <c r="N670" s="15"/>
      <c r="O670" s="15"/>
      <c r="P670" s="15"/>
      <c r="Q670" s="11"/>
      <c r="R670" s="11"/>
      <c r="S670" s="11"/>
      <c r="T670" s="11"/>
      <c r="U670" s="15"/>
      <c r="V670" s="11"/>
      <c r="W670" s="11"/>
      <c r="X670" s="11"/>
      <c r="Y670" s="11"/>
      <c r="Z670" s="11"/>
    </row>
    <row r="671">
      <c r="A671" s="18"/>
      <c r="B671" s="11"/>
      <c r="C671" s="11"/>
      <c r="D671" s="11"/>
      <c r="E671" s="11"/>
      <c r="F671" s="11"/>
      <c r="G671" s="11"/>
      <c r="H671" s="11"/>
      <c r="I671" s="11"/>
      <c r="J671" s="11"/>
      <c r="K671" s="11"/>
      <c r="L671" s="15"/>
      <c r="M671" s="15"/>
      <c r="N671" s="15"/>
      <c r="O671" s="15"/>
      <c r="P671" s="15"/>
      <c r="Q671" s="11"/>
      <c r="R671" s="11"/>
      <c r="S671" s="11"/>
      <c r="T671" s="11"/>
      <c r="U671" s="15"/>
      <c r="V671" s="11"/>
      <c r="W671" s="11"/>
      <c r="X671" s="11"/>
      <c r="Y671" s="11"/>
      <c r="Z671" s="11"/>
    </row>
    <row r="672">
      <c r="A672" s="18"/>
      <c r="B672" s="11"/>
      <c r="C672" s="11"/>
      <c r="D672" s="11"/>
      <c r="E672" s="11"/>
      <c r="F672" s="11"/>
      <c r="G672" s="11"/>
      <c r="H672" s="11"/>
      <c r="I672" s="11"/>
      <c r="J672" s="11"/>
      <c r="K672" s="11"/>
      <c r="L672" s="15"/>
      <c r="M672" s="15"/>
      <c r="N672" s="15"/>
      <c r="O672" s="15"/>
      <c r="P672" s="15"/>
      <c r="Q672" s="11"/>
      <c r="R672" s="11"/>
      <c r="S672" s="11"/>
      <c r="T672" s="11"/>
      <c r="U672" s="15"/>
      <c r="V672" s="11"/>
      <c r="W672" s="11"/>
      <c r="X672" s="11"/>
      <c r="Y672" s="11"/>
      <c r="Z672" s="11"/>
    </row>
    <row r="673">
      <c r="A673" s="18"/>
      <c r="B673" s="11"/>
      <c r="C673" s="11"/>
      <c r="D673" s="11"/>
      <c r="E673" s="11"/>
      <c r="F673" s="11"/>
      <c r="G673" s="11"/>
      <c r="H673" s="11"/>
      <c r="I673" s="11"/>
      <c r="J673" s="11"/>
      <c r="K673" s="11"/>
      <c r="L673" s="15"/>
      <c r="M673" s="15"/>
      <c r="N673" s="15"/>
      <c r="O673" s="15"/>
      <c r="P673" s="15"/>
      <c r="Q673" s="11"/>
      <c r="R673" s="11"/>
      <c r="S673" s="11"/>
      <c r="T673" s="11"/>
      <c r="U673" s="15"/>
      <c r="V673" s="11"/>
      <c r="W673" s="11"/>
      <c r="X673" s="11"/>
      <c r="Y673" s="11"/>
      <c r="Z673" s="11"/>
    </row>
    <row r="674">
      <c r="A674" s="18"/>
      <c r="B674" s="11"/>
      <c r="C674" s="11"/>
      <c r="D674" s="11"/>
      <c r="E674" s="11"/>
      <c r="F674" s="11"/>
      <c r="G674" s="11"/>
      <c r="H674" s="11"/>
      <c r="I674" s="11"/>
      <c r="J674" s="11"/>
      <c r="K674" s="11"/>
      <c r="L674" s="15"/>
      <c r="M674" s="15"/>
      <c r="N674" s="15"/>
      <c r="O674" s="15"/>
      <c r="P674" s="15"/>
      <c r="Q674" s="11"/>
      <c r="R674" s="11"/>
      <c r="S674" s="11"/>
      <c r="T674" s="11"/>
      <c r="U674" s="15"/>
      <c r="V674" s="11"/>
      <c r="W674" s="11"/>
      <c r="X674" s="11"/>
      <c r="Y674" s="11"/>
      <c r="Z674" s="11"/>
    </row>
    <row r="675">
      <c r="A675" s="18"/>
      <c r="B675" s="11"/>
      <c r="C675" s="11"/>
      <c r="D675" s="11"/>
      <c r="E675" s="11"/>
      <c r="F675" s="11"/>
      <c r="G675" s="11"/>
      <c r="H675" s="11"/>
      <c r="I675" s="11"/>
      <c r="J675" s="11"/>
      <c r="K675" s="11"/>
      <c r="L675" s="15"/>
      <c r="M675" s="15"/>
      <c r="N675" s="15"/>
      <c r="O675" s="15"/>
      <c r="P675" s="15"/>
      <c r="Q675" s="11"/>
      <c r="R675" s="11"/>
      <c r="S675" s="11"/>
      <c r="T675" s="11"/>
      <c r="U675" s="15"/>
      <c r="V675" s="11"/>
      <c r="W675" s="11"/>
      <c r="X675" s="11"/>
      <c r="Y675" s="11"/>
      <c r="Z675" s="11"/>
    </row>
    <row r="676">
      <c r="A676" s="18"/>
      <c r="B676" s="11"/>
      <c r="C676" s="11"/>
      <c r="D676" s="11"/>
      <c r="E676" s="11"/>
      <c r="F676" s="11"/>
      <c r="G676" s="11"/>
      <c r="H676" s="11"/>
      <c r="I676" s="11"/>
      <c r="J676" s="11"/>
      <c r="K676" s="11"/>
      <c r="L676" s="15"/>
      <c r="M676" s="15"/>
      <c r="N676" s="15"/>
      <c r="O676" s="15"/>
      <c r="P676" s="15"/>
      <c r="Q676" s="11"/>
      <c r="R676" s="11"/>
      <c r="S676" s="11"/>
      <c r="T676" s="11"/>
      <c r="U676" s="15"/>
      <c r="V676" s="11"/>
      <c r="W676" s="11"/>
      <c r="X676" s="11"/>
      <c r="Y676" s="11"/>
      <c r="Z676" s="11"/>
    </row>
    <row r="677">
      <c r="A677" s="18"/>
      <c r="B677" s="11"/>
      <c r="C677" s="11"/>
      <c r="D677" s="11"/>
      <c r="E677" s="11"/>
      <c r="F677" s="11"/>
      <c r="G677" s="11"/>
      <c r="H677" s="11"/>
      <c r="I677" s="11"/>
      <c r="J677" s="11"/>
      <c r="K677" s="11"/>
      <c r="L677" s="15"/>
      <c r="M677" s="15"/>
      <c r="N677" s="15"/>
      <c r="O677" s="15"/>
      <c r="P677" s="15"/>
      <c r="Q677" s="11"/>
      <c r="R677" s="11"/>
      <c r="S677" s="11"/>
      <c r="T677" s="11"/>
      <c r="U677" s="15"/>
      <c r="V677" s="11"/>
      <c r="W677" s="11"/>
      <c r="X677" s="11"/>
      <c r="Y677" s="11"/>
      <c r="Z677" s="11"/>
    </row>
    <row r="678">
      <c r="A678" s="18"/>
      <c r="B678" s="11"/>
      <c r="C678" s="11"/>
      <c r="D678" s="11"/>
      <c r="E678" s="11"/>
      <c r="F678" s="11"/>
      <c r="G678" s="11"/>
      <c r="H678" s="11"/>
      <c r="I678" s="11"/>
      <c r="J678" s="11"/>
      <c r="K678" s="11"/>
      <c r="L678" s="15"/>
      <c r="M678" s="15"/>
      <c r="N678" s="15"/>
      <c r="O678" s="15"/>
      <c r="P678" s="15"/>
      <c r="Q678" s="11"/>
      <c r="R678" s="11"/>
      <c r="S678" s="11"/>
      <c r="T678" s="11"/>
      <c r="U678" s="15"/>
      <c r="V678" s="11"/>
      <c r="W678" s="11"/>
      <c r="X678" s="11"/>
      <c r="Y678" s="11"/>
      <c r="Z678" s="11"/>
    </row>
    <row r="679">
      <c r="A679" s="18"/>
      <c r="B679" s="11"/>
      <c r="C679" s="11"/>
      <c r="D679" s="11"/>
      <c r="E679" s="11"/>
      <c r="F679" s="11"/>
      <c r="G679" s="11"/>
      <c r="H679" s="11"/>
      <c r="I679" s="11"/>
      <c r="J679" s="11"/>
      <c r="K679" s="11"/>
      <c r="L679" s="15"/>
      <c r="M679" s="15"/>
      <c r="N679" s="15"/>
      <c r="O679" s="15"/>
      <c r="P679" s="15"/>
      <c r="Q679" s="11"/>
      <c r="R679" s="11"/>
      <c r="S679" s="11"/>
      <c r="T679" s="11"/>
      <c r="U679" s="15"/>
      <c r="V679" s="11"/>
      <c r="W679" s="11"/>
      <c r="X679" s="11"/>
      <c r="Y679" s="11"/>
      <c r="Z679" s="11"/>
    </row>
    <row r="680">
      <c r="A680" s="18"/>
      <c r="B680" s="11"/>
      <c r="C680" s="11"/>
      <c r="D680" s="11"/>
      <c r="E680" s="11"/>
      <c r="F680" s="11"/>
      <c r="G680" s="11"/>
      <c r="H680" s="11"/>
      <c r="I680" s="11"/>
      <c r="J680" s="11"/>
      <c r="K680" s="11"/>
      <c r="L680" s="15"/>
      <c r="M680" s="15"/>
      <c r="N680" s="15"/>
      <c r="O680" s="15"/>
      <c r="P680" s="15"/>
      <c r="Q680" s="11"/>
      <c r="R680" s="11"/>
      <c r="S680" s="11"/>
      <c r="T680" s="11"/>
      <c r="U680" s="15"/>
      <c r="V680" s="11"/>
      <c r="W680" s="11"/>
      <c r="X680" s="11"/>
      <c r="Y680" s="11"/>
      <c r="Z680" s="11"/>
    </row>
    <row r="681">
      <c r="A681" s="18"/>
      <c r="B681" s="11"/>
      <c r="C681" s="11"/>
      <c r="D681" s="11"/>
      <c r="E681" s="11"/>
      <c r="F681" s="11"/>
      <c r="G681" s="11"/>
      <c r="H681" s="11"/>
      <c r="I681" s="11"/>
      <c r="J681" s="11"/>
      <c r="K681" s="11"/>
      <c r="L681" s="15"/>
      <c r="M681" s="15"/>
      <c r="N681" s="15"/>
      <c r="O681" s="15"/>
      <c r="P681" s="15"/>
      <c r="Q681" s="11"/>
      <c r="R681" s="11"/>
      <c r="S681" s="11"/>
      <c r="T681" s="11"/>
      <c r="U681" s="15"/>
      <c r="V681" s="11"/>
      <c r="W681" s="11"/>
      <c r="X681" s="11"/>
      <c r="Y681" s="11"/>
      <c r="Z681" s="11"/>
    </row>
    <row r="682">
      <c r="A682" s="18"/>
      <c r="B682" s="11"/>
      <c r="C682" s="11"/>
      <c r="D682" s="11"/>
      <c r="E682" s="11"/>
      <c r="F682" s="11"/>
      <c r="G682" s="11"/>
      <c r="H682" s="11"/>
      <c r="I682" s="11"/>
      <c r="J682" s="11"/>
      <c r="K682" s="11"/>
      <c r="L682" s="15"/>
      <c r="M682" s="15"/>
      <c r="N682" s="15"/>
      <c r="O682" s="15"/>
      <c r="P682" s="15"/>
      <c r="Q682" s="11"/>
      <c r="R682" s="11"/>
      <c r="S682" s="11"/>
      <c r="T682" s="11"/>
      <c r="U682" s="15"/>
      <c r="V682" s="11"/>
      <c r="W682" s="11"/>
      <c r="X682" s="11"/>
      <c r="Y682" s="11"/>
      <c r="Z682" s="11"/>
    </row>
    <row r="683">
      <c r="A683" s="18"/>
      <c r="B683" s="11"/>
      <c r="C683" s="11"/>
      <c r="D683" s="11"/>
      <c r="E683" s="11"/>
      <c r="F683" s="11"/>
      <c r="G683" s="11"/>
      <c r="H683" s="11"/>
      <c r="I683" s="11"/>
      <c r="J683" s="11"/>
      <c r="K683" s="11"/>
      <c r="L683" s="15"/>
      <c r="M683" s="15"/>
      <c r="N683" s="15"/>
      <c r="O683" s="15"/>
      <c r="P683" s="15"/>
      <c r="Q683" s="11"/>
      <c r="R683" s="11"/>
      <c r="S683" s="11"/>
      <c r="T683" s="11"/>
      <c r="U683" s="15"/>
      <c r="V683" s="11"/>
      <c r="W683" s="11"/>
      <c r="X683" s="11"/>
      <c r="Y683" s="11"/>
      <c r="Z683" s="11"/>
    </row>
    <row r="684">
      <c r="A684" s="18"/>
      <c r="B684" s="11"/>
      <c r="C684" s="11"/>
      <c r="D684" s="11"/>
      <c r="E684" s="11"/>
      <c r="F684" s="11"/>
      <c r="G684" s="11"/>
      <c r="H684" s="11"/>
      <c r="I684" s="11"/>
      <c r="J684" s="11"/>
      <c r="K684" s="11"/>
      <c r="L684" s="15"/>
      <c r="M684" s="15"/>
      <c r="N684" s="15"/>
      <c r="O684" s="15"/>
      <c r="P684" s="15"/>
      <c r="Q684" s="11"/>
      <c r="R684" s="11"/>
      <c r="S684" s="11"/>
      <c r="T684" s="11"/>
      <c r="U684" s="15"/>
      <c r="V684" s="11"/>
      <c r="W684" s="11"/>
      <c r="X684" s="11"/>
      <c r="Y684" s="11"/>
      <c r="Z684" s="11"/>
    </row>
    <row r="685">
      <c r="A685" s="18"/>
      <c r="B685" s="11"/>
      <c r="C685" s="11"/>
      <c r="D685" s="11"/>
      <c r="E685" s="11"/>
      <c r="F685" s="11"/>
      <c r="G685" s="11"/>
      <c r="H685" s="11"/>
      <c r="I685" s="11"/>
      <c r="J685" s="11"/>
      <c r="K685" s="11"/>
      <c r="L685" s="15"/>
      <c r="M685" s="15"/>
      <c r="N685" s="15"/>
      <c r="O685" s="15"/>
      <c r="P685" s="15"/>
      <c r="Q685" s="11"/>
      <c r="R685" s="11"/>
      <c r="S685" s="11"/>
      <c r="T685" s="11"/>
      <c r="U685" s="15"/>
      <c r="V685" s="11"/>
      <c r="W685" s="11"/>
      <c r="X685" s="11"/>
      <c r="Y685" s="11"/>
      <c r="Z685" s="11"/>
    </row>
    <row r="686">
      <c r="A686" s="18"/>
      <c r="B686" s="11"/>
      <c r="C686" s="11"/>
      <c r="D686" s="11"/>
      <c r="E686" s="11"/>
      <c r="F686" s="11"/>
      <c r="G686" s="11"/>
      <c r="H686" s="11"/>
      <c r="I686" s="11"/>
      <c r="J686" s="11"/>
      <c r="K686" s="11"/>
      <c r="L686" s="15"/>
      <c r="M686" s="15"/>
      <c r="N686" s="15"/>
      <c r="O686" s="15"/>
      <c r="P686" s="15"/>
      <c r="Q686" s="11"/>
      <c r="R686" s="11"/>
      <c r="S686" s="11"/>
      <c r="T686" s="11"/>
      <c r="U686" s="15"/>
      <c r="V686" s="11"/>
      <c r="W686" s="11"/>
      <c r="X686" s="11"/>
      <c r="Y686" s="11"/>
      <c r="Z686" s="11"/>
    </row>
    <row r="687">
      <c r="A687" s="18"/>
      <c r="B687" s="11"/>
      <c r="C687" s="11"/>
      <c r="D687" s="11"/>
      <c r="E687" s="11"/>
      <c r="F687" s="11"/>
      <c r="G687" s="11"/>
      <c r="H687" s="11"/>
      <c r="I687" s="11"/>
      <c r="J687" s="11"/>
      <c r="K687" s="11"/>
      <c r="L687" s="15"/>
      <c r="M687" s="15"/>
      <c r="N687" s="15"/>
      <c r="O687" s="15"/>
      <c r="P687" s="15"/>
      <c r="Q687" s="11"/>
      <c r="R687" s="11"/>
      <c r="S687" s="11"/>
      <c r="T687" s="11"/>
      <c r="U687" s="15"/>
      <c r="V687" s="11"/>
      <c r="W687" s="11"/>
      <c r="X687" s="11"/>
      <c r="Y687" s="11"/>
      <c r="Z687" s="11"/>
    </row>
    <row r="688">
      <c r="A688" s="18"/>
      <c r="B688" s="11"/>
      <c r="C688" s="11"/>
      <c r="D688" s="11"/>
      <c r="E688" s="11"/>
      <c r="F688" s="11"/>
      <c r="G688" s="11"/>
      <c r="H688" s="11"/>
      <c r="I688" s="11"/>
      <c r="J688" s="11"/>
      <c r="K688" s="11"/>
      <c r="L688" s="15"/>
      <c r="M688" s="15"/>
      <c r="N688" s="15"/>
      <c r="O688" s="15"/>
      <c r="P688" s="15"/>
      <c r="Q688" s="11"/>
      <c r="R688" s="11"/>
      <c r="S688" s="11"/>
      <c r="T688" s="11"/>
      <c r="U688" s="15"/>
      <c r="V688" s="11"/>
      <c r="W688" s="11"/>
      <c r="X688" s="11"/>
      <c r="Y688" s="11"/>
      <c r="Z688" s="11"/>
    </row>
    <row r="689">
      <c r="A689" s="18"/>
      <c r="B689" s="11"/>
      <c r="C689" s="11"/>
      <c r="D689" s="11"/>
      <c r="E689" s="11"/>
      <c r="F689" s="11"/>
      <c r="G689" s="11"/>
      <c r="H689" s="11"/>
      <c r="I689" s="11"/>
      <c r="J689" s="11"/>
      <c r="K689" s="11"/>
      <c r="L689" s="15"/>
      <c r="M689" s="15"/>
      <c r="N689" s="15"/>
      <c r="O689" s="15"/>
      <c r="P689" s="15"/>
      <c r="Q689" s="11"/>
      <c r="R689" s="11"/>
      <c r="S689" s="11"/>
      <c r="T689" s="11"/>
      <c r="U689" s="15"/>
      <c r="V689" s="11"/>
      <c r="W689" s="11"/>
      <c r="X689" s="11"/>
      <c r="Y689" s="11"/>
      <c r="Z689" s="11"/>
    </row>
    <row r="690">
      <c r="A690" s="18"/>
      <c r="B690" s="11"/>
      <c r="C690" s="11"/>
      <c r="D690" s="11"/>
      <c r="E690" s="11"/>
      <c r="F690" s="11"/>
      <c r="G690" s="11"/>
      <c r="H690" s="11"/>
      <c r="I690" s="11"/>
      <c r="J690" s="11"/>
      <c r="K690" s="11"/>
      <c r="L690" s="15"/>
      <c r="M690" s="15"/>
      <c r="N690" s="15"/>
      <c r="O690" s="15"/>
      <c r="P690" s="15"/>
      <c r="Q690" s="11"/>
      <c r="R690" s="11"/>
      <c r="S690" s="11"/>
      <c r="T690" s="11"/>
      <c r="U690" s="15"/>
      <c r="V690" s="11"/>
      <c r="W690" s="11"/>
      <c r="X690" s="11"/>
      <c r="Y690" s="11"/>
      <c r="Z690" s="11"/>
    </row>
    <row r="691">
      <c r="A691" s="18"/>
      <c r="B691" s="11"/>
      <c r="C691" s="11"/>
      <c r="D691" s="11"/>
      <c r="E691" s="11"/>
      <c r="F691" s="11"/>
      <c r="G691" s="11"/>
      <c r="H691" s="11"/>
      <c r="I691" s="11"/>
      <c r="J691" s="11"/>
      <c r="K691" s="11"/>
      <c r="L691" s="15"/>
      <c r="M691" s="15"/>
      <c r="N691" s="15"/>
      <c r="O691" s="15"/>
      <c r="P691" s="15"/>
      <c r="Q691" s="11"/>
      <c r="R691" s="11"/>
      <c r="S691" s="11"/>
      <c r="T691" s="11"/>
      <c r="U691" s="15"/>
      <c r="V691" s="11"/>
      <c r="W691" s="11"/>
      <c r="X691" s="11"/>
      <c r="Y691" s="11"/>
      <c r="Z691" s="11"/>
    </row>
    <row r="692">
      <c r="A692" s="18"/>
      <c r="B692" s="11"/>
      <c r="C692" s="11"/>
      <c r="D692" s="11"/>
      <c r="E692" s="11"/>
      <c r="F692" s="11"/>
      <c r="G692" s="11"/>
      <c r="H692" s="11"/>
      <c r="I692" s="11"/>
      <c r="J692" s="11"/>
      <c r="K692" s="11"/>
      <c r="L692" s="15"/>
      <c r="M692" s="15"/>
      <c r="N692" s="15"/>
      <c r="O692" s="15"/>
      <c r="P692" s="15"/>
      <c r="Q692" s="11"/>
      <c r="R692" s="11"/>
      <c r="S692" s="11"/>
      <c r="T692" s="11"/>
      <c r="U692" s="15"/>
      <c r="V692" s="11"/>
      <c r="W692" s="11"/>
      <c r="X692" s="11"/>
      <c r="Y692" s="11"/>
      <c r="Z692" s="11"/>
    </row>
    <row r="693">
      <c r="A693" s="18"/>
      <c r="B693" s="11"/>
      <c r="C693" s="11"/>
      <c r="D693" s="11"/>
      <c r="E693" s="11"/>
      <c r="F693" s="11"/>
      <c r="G693" s="11"/>
      <c r="H693" s="11"/>
      <c r="I693" s="11"/>
      <c r="J693" s="11"/>
      <c r="K693" s="11"/>
      <c r="L693" s="15"/>
      <c r="M693" s="15"/>
      <c r="N693" s="15"/>
      <c r="O693" s="15"/>
      <c r="P693" s="15"/>
      <c r="Q693" s="11"/>
      <c r="R693" s="11"/>
      <c r="S693" s="11"/>
      <c r="T693" s="11"/>
      <c r="U693" s="15"/>
      <c r="V693" s="11"/>
      <c r="W693" s="11"/>
      <c r="X693" s="11"/>
      <c r="Y693" s="11"/>
      <c r="Z693" s="11"/>
    </row>
    <row r="694">
      <c r="A694" s="18"/>
      <c r="B694" s="11"/>
      <c r="C694" s="11"/>
      <c r="D694" s="11"/>
      <c r="E694" s="11"/>
      <c r="F694" s="11"/>
      <c r="G694" s="11"/>
      <c r="H694" s="11"/>
      <c r="I694" s="11"/>
      <c r="J694" s="11"/>
      <c r="K694" s="11"/>
      <c r="L694" s="15"/>
      <c r="M694" s="15"/>
      <c r="N694" s="15"/>
      <c r="O694" s="15"/>
      <c r="P694" s="15"/>
      <c r="Q694" s="11"/>
      <c r="R694" s="11"/>
      <c r="S694" s="11"/>
      <c r="T694" s="11"/>
      <c r="U694" s="15"/>
      <c r="V694" s="11"/>
      <c r="W694" s="11"/>
      <c r="X694" s="11"/>
      <c r="Y694" s="11"/>
      <c r="Z694" s="11"/>
    </row>
    <row r="695">
      <c r="A695" s="18"/>
      <c r="B695" s="11"/>
      <c r="C695" s="11"/>
      <c r="D695" s="11"/>
      <c r="E695" s="11"/>
      <c r="F695" s="11"/>
      <c r="G695" s="11"/>
      <c r="H695" s="11"/>
      <c r="I695" s="11"/>
      <c r="J695" s="11"/>
      <c r="K695" s="11"/>
      <c r="L695" s="15"/>
      <c r="M695" s="15"/>
      <c r="N695" s="15"/>
      <c r="O695" s="15"/>
      <c r="P695" s="15"/>
      <c r="Q695" s="11"/>
      <c r="R695" s="11"/>
      <c r="S695" s="11"/>
      <c r="T695" s="11"/>
      <c r="U695" s="15"/>
      <c r="V695" s="11"/>
      <c r="W695" s="11"/>
      <c r="X695" s="11"/>
      <c r="Y695" s="11"/>
      <c r="Z695" s="11"/>
    </row>
    <row r="696">
      <c r="A696" s="18"/>
      <c r="B696" s="11"/>
      <c r="C696" s="11"/>
      <c r="D696" s="11"/>
      <c r="E696" s="11"/>
      <c r="F696" s="11"/>
      <c r="G696" s="11"/>
      <c r="H696" s="11"/>
      <c r="I696" s="11"/>
      <c r="J696" s="11"/>
      <c r="K696" s="11"/>
      <c r="L696" s="15"/>
      <c r="M696" s="15"/>
      <c r="N696" s="15"/>
      <c r="O696" s="15"/>
      <c r="P696" s="15"/>
      <c r="Q696" s="11"/>
      <c r="R696" s="11"/>
      <c r="S696" s="11"/>
      <c r="T696" s="11"/>
      <c r="U696" s="15"/>
      <c r="V696" s="11"/>
      <c r="W696" s="11"/>
      <c r="X696" s="11"/>
      <c r="Y696" s="11"/>
      <c r="Z696" s="11"/>
    </row>
    <row r="697">
      <c r="A697" s="18"/>
      <c r="B697" s="11"/>
      <c r="C697" s="11"/>
      <c r="D697" s="11"/>
      <c r="E697" s="11"/>
      <c r="F697" s="11"/>
      <c r="G697" s="11"/>
      <c r="H697" s="11"/>
      <c r="I697" s="11"/>
      <c r="J697" s="11"/>
      <c r="K697" s="11"/>
      <c r="L697" s="15"/>
      <c r="M697" s="15"/>
      <c r="N697" s="15"/>
      <c r="O697" s="15"/>
      <c r="P697" s="15"/>
      <c r="Q697" s="11"/>
      <c r="R697" s="11"/>
      <c r="S697" s="11"/>
      <c r="T697" s="11"/>
      <c r="U697" s="15"/>
      <c r="V697" s="11"/>
      <c r="W697" s="11"/>
      <c r="X697" s="11"/>
      <c r="Y697" s="11"/>
      <c r="Z697" s="11"/>
    </row>
    <row r="698">
      <c r="A698" s="18"/>
      <c r="B698" s="11"/>
      <c r="C698" s="11"/>
      <c r="D698" s="11"/>
      <c r="E698" s="11"/>
      <c r="F698" s="11"/>
      <c r="G698" s="11"/>
      <c r="H698" s="11"/>
      <c r="I698" s="11"/>
      <c r="J698" s="11"/>
      <c r="K698" s="11"/>
      <c r="L698" s="15"/>
      <c r="M698" s="15"/>
      <c r="N698" s="15"/>
      <c r="O698" s="15"/>
      <c r="P698" s="15"/>
      <c r="Q698" s="11"/>
      <c r="R698" s="11"/>
      <c r="S698" s="11"/>
      <c r="T698" s="11"/>
      <c r="U698" s="15"/>
      <c r="V698" s="11"/>
      <c r="W698" s="11"/>
      <c r="X698" s="11"/>
      <c r="Y698" s="11"/>
      <c r="Z698" s="11"/>
    </row>
    <row r="699">
      <c r="A699" s="18"/>
      <c r="B699" s="11"/>
      <c r="C699" s="11"/>
      <c r="D699" s="11"/>
      <c r="E699" s="11"/>
      <c r="F699" s="11"/>
      <c r="G699" s="11"/>
      <c r="H699" s="11"/>
      <c r="I699" s="11"/>
      <c r="J699" s="11"/>
      <c r="K699" s="11"/>
      <c r="L699" s="15"/>
      <c r="M699" s="15"/>
      <c r="N699" s="15"/>
      <c r="O699" s="15"/>
      <c r="P699" s="15"/>
      <c r="Q699" s="11"/>
      <c r="R699" s="11"/>
      <c r="S699" s="11"/>
      <c r="T699" s="11"/>
      <c r="U699" s="15"/>
      <c r="V699" s="11"/>
      <c r="W699" s="11"/>
      <c r="X699" s="11"/>
      <c r="Y699" s="11"/>
      <c r="Z699" s="11"/>
    </row>
    <row r="700">
      <c r="A700" s="18"/>
      <c r="B700" s="11"/>
      <c r="C700" s="11"/>
      <c r="D700" s="11"/>
      <c r="E700" s="11"/>
      <c r="F700" s="11"/>
      <c r="G700" s="11"/>
      <c r="H700" s="11"/>
      <c r="I700" s="11"/>
      <c r="J700" s="11"/>
      <c r="K700" s="11"/>
      <c r="L700" s="15"/>
      <c r="M700" s="15"/>
      <c r="N700" s="15"/>
      <c r="O700" s="15"/>
      <c r="P700" s="15"/>
      <c r="Q700" s="11"/>
      <c r="R700" s="11"/>
      <c r="S700" s="11"/>
      <c r="T700" s="11"/>
      <c r="U700" s="15"/>
      <c r="V700" s="11"/>
      <c r="W700" s="11"/>
      <c r="X700" s="11"/>
      <c r="Y700" s="11"/>
      <c r="Z700" s="11"/>
    </row>
    <row r="701">
      <c r="A701" s="18"/>
      <c r="B701" s="11"/>
      <c r="C701" s="11"/>
      <c r="D701" s="11"/>
      <c r="E701" s="11"/>
      <c r="F701" s="11"/>
      <c r="G701" s="11"/>
      <c r="H701" s="11"/>
      <c r="I701" s="11"/>
      <c r="J701" s="11"/>
      <c r="K701" s="11"/>
      <c r="L701" s="15"/>
      <c r="M701" s="15"/>
      <c r="N701" s="15"/>
      <c r="O701" s="15"/>
      <c r="P701" s="15"/>
      <c r="Q701" s="11"/>
      <c r="R701" s="11"/>
      <c r="S701" s="11"/>
      <c r="T701" s="11"/>
      <c r="U701" s="15"/>
      <c r="V701" s="11"/>
      <c r="W701" s="11"/>
      <c r="X701" s="11"/>
      <c r="Y701" s="11"/>
      <c r="Z701" s="11"/>
    </row>
    <row r="702">
      <c r="A702" s="18"/>
      <c r="B702" s="11"/>
      <c r="C702" s="11"/>
      <c r="D702" s="11"/>
      <c r="E702" s="11"/>
      <c r="F702" s="11"/>
      <c r="G702" s="11"/>
      <c r="H702" s="11"/>
      <c r="I702" s="11"/>
      <c r="J702" s="11"/>
      <c r="K702" s="11"/>
      <c r="L702" s="15"/>
      <c r="M702" s="15"/>
      <c r="N702" s="15"/>
      <c r="O702" s="15"/>
      <c r="P702" s="15"/>
      <c r="Q702" s="11"/>
      <c r="R702" s="11"/>
      <c r="S702" s="11"/>
      <c r="T702" s="11"/>
      <c r="U702" s="15"/>
      <c r="V702" s="11"/>
      <c r="W702" s="11"/>
      <c r="X702" s="11"/>
      <c r="Y702" s="11"/>
      <c r="Z702" s="11"/>
    </row>
    <row r="703">
      <c r="A703" s="18"/>
      <c r="B703" s="11"/>
      <c r="C703" s="11"/>
      <c r="D703" s="11"/>
      <c r="E703" s="11"/>
      <c r="F703" s="11"/>
      <c r="G703" s="11"/>
      <c r="H703" s="11"/>
      <c r="I703" s="11"/>
      <c r="J703" s="11"/>
      <c r="K703" s="11"/>
      <c r="L703" s="15"/>
      <c r="M703" s="15"/>
      <c r="N703" s="15"/>
      <c r="O703" s="15"/>
      <c r="P703" s="15"/>
      <c r="Q703" s="11"/>
      <c r="R703" s="11"/>
      <c r="S703" s="11"/>
      <c r="T703" s="11"/>
      <c r="U703" s="15"/>
      <c r="V703" s="11"/>
      <c r="W703" s="11"/>
      <c r="X703" s="11"/>
      <c r="Y703" s="11"/>
      <c r="Z703" s="11"/>
    </row>
    <row r="704">
      <c r="A704" s="18"/>
      <c r="B704" s="11"/>
      <c r="C704" s="11"/>
      <c r="D704" s="11"/>
      <c r="E704" s="11"/>
      <c r="F704" s="11"/>
      <c r="G704" s="11"/>
      <c r="H704" s="11"/>
      <c r="I704" s="11"/>
      <c r="J704" s="11"/>
      <c r="K704" s="11"/>
      <c r="L704" s="15"/>
      <c r="M704" s="15"/>
      <c r="N704" s="15"/>
      <c r="O704" s="15"/>
      <c r="P704" s="15"/>
      <c r="Q704" s="11"/>
      <c r="R704" s="11"/>
      <c r="S704" s="11"/>
      <c r="T704" s="11"/>
      <c r="U704" s="15"/>
      <c r="V704" s="11"/>
      <c r="W704" s="11"/>
      <c r="X704" s="11"/>
      <c r="Y704" s="11"/>
      <c r="Z704" s="11"/>
    </row>
    <row r="705">
      <c r="A705" s="18"/>
      <c r="B705" s="11"/>
      <c r="C705" s="11"/>
      <c r="D705" s="11"/>
      <c r="E705" s="11"/>
      <c r="F705" s="11"/>
      <c r="G705" s="11"/>
      <c r="H705" s="11"/>
      <c r="I705" s="11"/>
      <c r="J705" s="11"/>
      <c r="K705" s="11"/>
      <c r="L705" s="15"/>
      <c r="M705" s="15"/>
      <c r="N705" s="15"/>
      <c r="O705" s="15"/>
      <c r="P705" s="15"/>
      <c r="Q705" s="11"/>
      <c r="R705" s="11"/>
      <c r="S705" s="11"/>
      <c r="T705" s="11"/>
      <c r="U705" s="15"/>
      <c r="V705" s="11"/>
      <c r="W705" s="11"/>
      <c r="X705" s="11"/>
      <c r="Y705" s="11"/>
      <c r="Z705" s="11"/>
    </row>
    <row r="706">
      <c r="A706" s="18"/>
      <c r="B706" s="11"/>
      <c r="C706" s="11"/>
      <c r="D706" s="11"/>
      <c r="E706" s="11"/>
      <c r="F706" s="11"/>
      <c r="G706" s="11"/>
      <c r="H706" s="11"/>
      <c r="I706" s="11"/>
      <c r="J706" s="11"/>
      <c r="K706" s="11"/>
      <c r="L706" s="15"/>
      <c r="M706" s="15"/>
      <c r="N706" s="15"/>
      <c r="O706" s="15"/>
      <c r="P706" s="15"/>
      <c r="Q706" s="11"/>
      <c r="R706" s="11"/>
      <c r="S706" s="11"/>
      <c r="T706" s="11"/>
      <c r="U706" s="15"/>
      <c r="V706" s="11"/>
      <c r="W706" s="11"/>
      <c r="X706" s="11"/>
      <c r="Y706" s="11"/>
      <c r="Z706" s="11"/>
    </row>
    <row r="707">
      <c r="A707" s="18"/>
      <c r="B707" s="11"/>
      <c r="C707" s="11"/>
      <c r="D707" s="11"/>
      <c r="E707" s="11"/>
      <c r="F707" s="11"/>
      <c r="G707" s="11"/>
      <c r="H707" s="11"/>
      <c r="I707" s="11"/>
      <c r="J707" s="11"/>
      <c r="K707" s="11"/>
      <c r="L707" s="15"/>
      <c r="M707" s="15"/>
      <c r="N707" s="15"/>
      <c r="O707" s="15"/>
      <c r="P707" s="15"/>
      <c r="Q707" s="11"/>
      <c r="R707" s="11"/>
      <c r="S707" s="11"/>
      <c r="T707" s="11"/>
      <c r="U707" s="15"/>
      <c r="V707" s="11"/>
      <c r="W707" s="11"/>
      <c r="X707" s="11"/>
      <c r="Y707" s="11"/>
      <c r="Z707" s="11"/>
    </row>
    <row r="708">
      <c r="A708" s="18"/>
      <c r="B708" s="11"/>
      <c r="C708" s="11"/>
      <c r="D708" s="11"/>
      <c r="E708" s="11"/>
      <c r="F708" s="11"/>
      <c r="G708" s="11"/>
      <c r="H708" s="11"/>
      <c r="I708" s="11"/>
      <c r="J708" s="11"/>
      <c r="K708" s="11"/>
      <c r="L708" s="15"/>
      <c r="M708" s="15"/>
      <c r="N708" s="15"/>
      <c r="O708" s="15"/>
      <c r="P708" s="15"/>
      <c r="Q708" s="11"/>
      <c r="R708" s="11"/>
      <c r="S708" s="11"/>
      <c r="T708" s="11"/>
      <c r="U708" s="15"/>
      <c r="V708" s="11"/>
      <c r="W708" s="11"/>
      <c r="X708" s="11"/>
      <c r="Y708" s="11"/>
      <c r="Z708" s="11"/>
    </row>
    <row r="709">
      <c r="A709" s="18"/>
      <c r="B709" s="11"/>
      <c r="C709" s="11"/>
      <c r="D709" s="11"/>
      <c r="E709" s="11"/>
      <c r="F709" s="11"/>
      <c r="G709" s="11"/>
      <c r="H709" s="11"/>
      <c r="I709" s="11"/>
      <c r="J709" s="11"/>
      <c r="K709" s="11"/>
      <c r="L709" s="15"/>
      <c r="M709" s="15"/>
      <c r="N709" s="15"/>
      <c r="O709" s="15"/>
      <c r="P709" s="15"/>
      <c r="Q709" s="11"/>
      <c r="R709" s="11"/>
      <c r="S709" s="11"/>
      <c r="T709" s="11"/>
      <c r="U709" s="15"/>
      <c r="V709" s="11"/>
      <c r="W709" s="11"/>
      <c r="X709" s="11"/>
      <c r="Y709" s="11"/>
      <c r="Z709" s="11"/>
    </row>
    <row r="710">
      <c r="A710" s="18"/>
      <c r="B710" s="11"/>
      <c r="C710" s="11"/>
      <c r="D710" s="11"/>
      <c r="E710" s="11"/>
      <c r="F710" s="11"/>
      <c r="G710" s="11"/>
      <c r="H710" s="11"/>
      <c r="I710" s="11"/>
      <c r="J710" s="11"/>
      <c r="K710" s="11"/>
      <c r="L710" s="15"/>
      <c r="M710" s="15"/>
      <c r="N710" s="15"/>
      <c r="O710" s="15"/>
      <c r="P710" s="15"/>
      <c r="Q710" s="11"/>
      <c r="R710" s="11"/>
      <c r="S710" s="11"/>
      <c r="T710" s="11"/>
      <c r="U710" s="15"/>
      <c r="V710" s="11"/>
      <c r="W710" s="11"/>
      <c r="X710" s="11"/>
      <c r="Y710" s="11"/>
      <c r="Z710" s="11"/>
    </row>
    <row r="711">
      <c r="A711" s="18"/>
      <c r="B711" s="11"/>
      <c r="C711" s="11"/>
      <c r="D711" s="11"/>
      <c r="E711" s="11"/>
      <c r="F711" s="11"/>
      <c r="G711" s="11"/>
      <c r="H711" s="11"/>
      <c r="I711" s="11"/>
      <c r="J711" s="11"/>
      <c r="K711" s="11"/>
      <c r="L711" s="15"/>
      <c r="M711" s="15"/>
      <c r="N711" s="15"/>
      <c r="O711" s="15"/>
      <c r="P711" s="15"/>
      <c r="Q711" s="11"/>
      <c r="R711" s="11"/>
      <c r="S711" s="11"/>
      <c r="T711" s="11"/>
      <c r="U711" s="15"/>
      <c r="V711" s="11"/>
      <c r="W711" s="11"/>
      <c r="X711" s="11"/>
      <c r="Y711" s="11"/>
      <c r="Z711" s="11"/>
    </row>
    <row r="712">
      <c r="A712" s="18"/>
      <c r="B712" s="11"/>
      <c r="C712" s="11"/>
      <c r="D712" s="11"/>
      <c r="E712" s="11"/>
      <c r="F712" s="11"/>
      <c r="G712" s="11"/>
      <c r="H712" s="11"/>
      <c r="I712" s="11"/>
      <c r="J712" s="11"/>
      <c r="K712" s="11"/>
      <c r="L712" s="15"/>
      <c r="M712" s="15"/>
      <c r="N712" s="15"/>
      <c r="O712" s="15"/>
      <c r="P712" s="15"/>
      <c r="Q712" s="11"/>
      <c r="R712" s="11"/>
      <c r="S712" s="11"/>
      <c r="T712" s="11"/>
      <c r="U712" s="15"/>
      <c r="V712" s="11"/>
      <c r="W712" s="11"/>
      <c r="X712" s="11"/>
      <c r="Y712" s="11"/>
      <c r="Z712" s="11"/>
    </row>
    <row r="713">
      <c r="A713" s="18"/>
      <c r="B713" s="11"/>
      <c r="C713" s="11"/>
      <c r="D713" s="11"/>
      <c r="E713" s="11"/>
      <c r="F713" s="11"/>
      <c r="G713" s="11"/>
      <c r="H713" s="11"/>
      <c r="I713" s="11"/>
      <c r="J713" s="11"/>
      <c r="K713" s="11"/>
      <c r="L713" s="15"/>
      <c r="M713" s="15"/>
      <c r="N713" s="15"/>
      <c r="O713" s="15"/>
      <c r="P713" s="15"/>
      <c r="Q713" s="11"/>
      <c r="R713" s="11"/>
      <c r="S713" s="11"/>
      <c r="T713" s="11"/>
      <c r="U713" s="15"/>
      <c r="V713" s="11"/>
      <c r="W713" s="11"/>
      <c r="X713" s="11"/>
      <c r="Y713" s="11"/>
      <c r="Z713" s="11"/>
    </row>
    <row r="714">
      <c r="A714" s="18"/>
      <c r="B714" s="11"/>
      <c r="C714" s="11"/>
      <c r="D714" s="11"/>
      <c r="E714" s="11"/>
      <c r="F714" s="11"/>
      <c r="G714" s="11"/>
      <c r="H714" s="11"/>
      <c r="I714" s="11"/>
      <c r="J714" s="11"/>
      <c r="K714" s="11"/>
      <c r="L714" s="15"/>
      <c r="M714" s="15"/>
      <c r="N714" s="15"/>
      <c r="O714" s="15"/>
      <c r="P714" s="15"/>
      <c r="Q714" s="11"/>
      <c r="R714" s="11"/>
      <c r="S714" s="11"/>
      <c r="T714" s="11"/>
      <c r="U714" s="15"/>
      <c r="V714" s="11"/>
      <c r="W714" s="11"/>
      <c r="X714" s="11"/>
      <c r="Y714" s="11"/>
      <c r="Z714" s="11"/>
    </row>
    <row r="715">
      <c r="A715" s="18"/>
      <c r="B715" s="11"/>
      <c r="C715" s="11"/>
      <c r="D715" s="11"/>
      <c r="E715" s="11"/>
      <c r="F715" s="11"/>
      <c r="G715" s="11"/>
      <c r="H715" s="11"/>
      <c r="I715" s="11"/>
      <c r="J715" s="11"/>
      <c r="K715" s="11"/>
      <c r="L715" s="15"/>
      <c r="M715" s="15"/>
      <c r="N715" s="15"/>
      <c r="O715" s="15"/>
      <c r="P715" s="15"/>
      <c r="Q715" s="11"/>
      <c r="R715" s="11"/>
      <c r="S715" s="11"/>
      <c r="T715" s="11"/>
      <c r="U715" s="15"/>
      <c r="V715" s="11"/>
      <c r="W715" s="11"/>
      <c r="X715" s="11"/>
      <c r="Y715" s="11"/>
      <c r="Z715" s="11"/>
    </row>
    <row r="716">
      <c r="A716" s="18"/>
      <c r="B716" s="11"/>
      <c r="C716" s="11"/>
      <c r="D716" s="11"/>
      <c r="E716" s="11"/>
      <c r="F716" s="11"/>
      <c r="G716" s="11"/>
      <c r="H716" s="11"/>
      <c r="I716" s="11"/>
      <c r="J716" s="11"/>
      <c r="K716" s="11"/>
      <c r="L716" s="15"/>
      <c r="M716" s="15"/>
      <c r="N716" s="15"/>
      <c r="O716" s="15"/>
      <c r="P716" s="15"/>
      <c r="Q716" s="11"/>
      <c r="R716" s="11"/>
      <c r="S716" s="11"/>
      <c r="T716" s="11"/>
      <c r="U716" s="15"/>
      <c r="V716" s="11"/>
      <c r="W716" s="11"/>
      <c r="X716" s="11"/>
      <c r="Y716" s="11"/>
      <c r="Z716" s="11"/>
    </row>
    <row r="717">
      <c r="A717" s="18"/>
      <c r="B717" s="11"/>
      <c r="C717" s="11"/>
      <c r="D717" s="11"/>
      <c r="E717" s="11"/>
      <c r="F717" s="11"/>
      <c r="G717" s="11"/>
      <c r="H717" s="11"/>
      <c r="I717" s="11"/>
      <c r="J717" s="11"/>
      <c r="K717" s="11"/>
      <c r="L717" s="15"/>
      <c r="M717" s="15"/>
      <c r="N717" s="15"/>
      <c r="O717" s="15"/>
      <c r="P717" s="15"/>
      <c r="Q717" s="11"/>
      <c r="R717" s="11"/>
      <c r="S717" s="11"/>
      <c r="T717" s="11"/>
      <c r="U717" s="15"/>
      <c r="V717" s="11"/>
      <c r="W717" s="11"/>
      <c r="X717" s="11"/>
      <c r="Y717" s="11"/>
      <c r="Z717" s="11"/>
    </row>
    <row r="718">
      <c r="A718" s="18"/>
      <c r="B718" s="11"/>
      <c r="C718" s="11"/>
      <c r="D718" s="11"/>
      <c r="E718" s="11"/>
      <c r="F718" s="11"/>
      <c r="G718" s="11"/>
      <c r="H718" s="11"/>
      <c r="I718" s="11"/>
      <c r="J718" s="11"/>
      <c r="K718" s="11"/>
      <c r="L718" s="15"/>
      <c r="M718" s="15"/>
      <c r="N718" s="15"/>
      <c r="O718" s="15"/>
      <c r="P718" s="15"/>
      <c r="Q718" s="11"/>
      <c r="R718" s="11"/>
      <c r="S718" s="11"/>
      <c r="T718" s="11"/>
      <c r="U718" s="15"/>
      <c r="V718" s="11"/>
      <c r="W718" s="11"/>
      <c r="X718" s="11"/>
      <c r="Y718" s="11"/>
      <c r="Z718" s="11"/>
    </row>
    <row r="719">
      <c r="A719" s="18"/>
      <c r="B719" s="11"/>
      <c r="C719" s="11"/>
      <c r="D719" s="11"/>
      <c r="E719" s="11"/>
      <c r="F719" s="11"/>
      <c r="G719" s="11"/>
      <c r="H719" s="11"/>
      <c r="I719" s="11"/>
      <c r="J719" s="11"/>
      <c r="K719" s="11"/>
      <c r="L719" s="15"/>
      <c r="M719" s="15"/>
      <c r="N719" s="15"/>
      <c r="O719" s="15"/>
      <c r="P719" s="15"/>
      <c r="Q719" s="11"/>
      <c r="R719" s="11"/>
      <c r="S719" s="11"/>
      <c r="T719" s="11"/>
      <c r="U719" s="15"/>
      <c r="V719" s="11"/>
      <c r="W719" s="11"/>
      <c r="X719" s="11"/>
      <c r="Y719" s="11"/>
      <c r="Z719" s="11"/>
    </row>
    <row r="720">
      <c r="A720" s="18"/>
      <c r="B720" s="11"/>
      <c r="C720" s="11"/>
      <c r="D720" s="11"/>
      <c r="E720" s="11"/>
      <c r="F720" s="11"/>
      <c r="G720" s="11"/>
      <c r="H720" s="11"/>
      <c r="I720" s="11"/>
      <c r="J720" s="11"/>
      <c r="K720" s="11"/>
      <c r="L720" s="15"/>
      <c r="M720" s="15"/>
      <c r="N720" s="15"/>
      <c r="O720" s="15"/>
      <c r="P720" s="15"/>
      <c r="Q720" s="11"/>
      <c r="R720" s="11"/>
      <c r="S720" s="11"/>
      <c r="T720" s="11"/>
      <c r="U720" s="15"/>
      <c r="V720" s="11"/>
      <c r="W720" s="11"/>
      <c r="X720" s="11"/>
      <c r="Y720" s="11"/>
      <c r="Z720" s="11"/>
    </row>
    <row r="721">
      <c r="A721" s="18"/>
      <c r="B721" s="11"/>
      <c r="C721" s="11"/>
      <c r="D721" s="11"/>
      <c r="E721" s="11"/>
      <c r="F721" s="11"/>
      <c r="G721" s="11"/>
      <c r="H721" s="11"/>
      <c r="I721" s="11"/>
      <c r="J721" s="11"/>
      <c r="K721" s="11"/>
      <c r="L721" s="15"/>
      <c r="M721" s="15"/>
      <c r="N721" s="15"/>
      <c r="O721" s="15"/>
      <c r="P721" s="15"/>
      <c r="Q721" s="11"/>
      <c r="R721" s="11"/>
      <c r="S721" s="11"/>
      <c r="T721" s="11"/>
      <c r="U721" s="15"/>
      <c r="V721" s="11"/>
      <c r="W721" s="11"/>
      <c r="X721" s="11"/>
      <c r="Y721" s="11"/>
      <c r="Z721" s="11"/>
    </row>
    <row r="722">
      <c r="A722" s="18"/>
      <c r="B722" s="11"/>
      <c r="C722" s="11"/>
      <c r="D722" s="11"/>
      <c r="E722" s="11"/>
      <c r="F722" s="11"/>
      <c r="G722" s="11"/>
      <c r="H722" s="11"/>
      <c r="I722" s="11"/>
      <c r="J722" s="11"/>
      <c r="K722" s="11"/>
      <c r="L722" s="15"/>
      <c r="M722" s="15"/>
      <c r="N722" s="15"/>
      <c r="O722" s="15"/>
      <c r="P722" s="15"/>
      <c r="Q722" s="11"/>
      <c r="R722" s="11"/>
      <c r="S722" s="11"/>
      <c r="T722" s="11"/>
      <c r="U722" s="15"/>
      <c r="V722" s="11"/>
      <c r="W722" s="11"/>
      <c r="X722" s="11"/>
      <c r="Y722" s="11"/>
      <c r="Z722" s="11"/>
    </row>
    <row r="723">
      <c r="A723" s="18"/>
      <c r="B723" s="11"/>
      <c r="C723" s="11"/>
      <c r="D723" s="11"/>
      <c r="E723" s="11"/>
      <c r="F723" s="11"/>
      <c r="G723" s="11"/>
      <c r="H723" s="11"/>
      <c r="I723" s="11"/>
      <c r="J723" s="11"/>
      <c r="K723" s="11"/>
      <c r="L723" s="15"/>
      <c r="M723" s="15"/>
      <c r="N723" s="15"/>
      <c r="O723" s="15"/>
      <c r="P723" s="15"/>
      <c r="Q723" s="11"/>
      <c r="R723" s="11"/>
      <c r="S723" s="11"/>
      <c r="T723" s="11"/>
      <c r="U723" s="15"/>
      <c r="V723" s="11"/>
      <c r="W723" s="11"/>
      <c r="X723" s="11"/>
      <c r="Y723" s="11"/>
      <c r="Z723" s="11"/>
    </row>
    <row r="724">
      <c r="A724" s="18"/>
      <c r="B724" s="11"/>
      <c r="C724" s="11"/>
      <c r="D724" s="11"/>
      <c r="E724" s="11"/>
      <c r="F724" s="11"/>
      <c r="G724" s="11"/>
      <c r="H724" s="11"/>
      <c r="I724" s="11"/>
      <c r="J724" s="11"/>
      <c r="K724" s="11"/>
      <c r="L724" s="15"/>
      <c r="M724" s="15"/>
      <c r="N724" s="15"/>
      <c r="O724" s="15"/>
      <c r="P724" s="15"/>
      <c r="Q724" s="11"/>
      <c r="R724" s="11"/>
      <c r="S724" s="11"/>
      <c r="T724" s="11"/>
      <c r="U724" s="15"/>
      <c r="V724" s="11"/>
      <c r="W724" s="11"/>
      <c r="X724" s="11"/>
      <c r="Y724" s="11"/>
      <c r="Z724" s="11"/>
    </row>
    <row r="725">
      <c r="A725" s="18"/>
      <c r="B725" s="11"/>
      <c r="C725" s="11"/>
      <c r="D725" s="11"/>
      <c r="E725" s="11"/>
      <c r="F725" s="11"/>
      <c r="G725" s="11"/>
      <c r="H725" s="11"/>
      <c r="I725" s="11"/>
      <c r="J725" s="11"/>
      <c r="K725" s="11"/>
      <c r="L725" s="15"/>
      <c r="M725" s="15"/>
      <c r="N725" s="15"/>
      <c r="O725" s="15"/>
      <c r="P725" s="15"/>
      <c r="Q725" s="11"/>
      <c r="R725" s="11"/>
      <c r="S725" s="11"/>
      <c r="T725" s="11"/>
      <c r="U725" s="15"/>
      <c r="V725" s="11"/>
      <c r="W725" s="11"/>
      <c r="X725" s="11"/>
      <c r="Y725" s="11"/>
      <c r="Z725" s="11"/>
    </row>
    <row r="726">
      <c r="A726" s="18"/>
      <c r="B726" s="11"/>
      <c r="C726" s="11"/>
      <c r="D726" s="11"/>
      <c r="E726" s="11"/>
      <c r="F726" s="11"/>
      <c r="G726" s="11"/>
      <c r="H726" s="11"/>
      <c r="I726" s="11"/>
      <c r="J726" s="11"/>
      <c r="K726" s="11"/>
      <c r="L726" s="15"/>
      <c r="M726" s="15"/>
      <c r="N726" s="15"/>
      <c r="O726" s="15"/>
      <c r="P726" s="15"/>
      <c r="Q726" s="11"/>
      <c r="R726" s="11"/>
      <c r="S726" s="11"/>
      <c r="T726" s="11"/>
      <c r="U726" s="15"/>
      <c r="V726" s="11"/>
      <c r="W726" s="11"/>
      <c r="X726" s="11"/>
      <c r="Y726" s="11"/>
      <c r="Z726" s="11"/>
    </row>
    <row r="727">
      <c r="A727" s="18"/>
      <c r="B727" s="11"/>
      <c r="C727" s="11"/>
      <c r="D727" s="11"/>
      <c r="E727" s="11"/>
      <c r="F727" s="11"/>
      <c r="G727" s="11"/>
      <c r="H727" s="11"/>
      <c r="I727" s="11"/>
      <c r="J727" s="11"/>
      <c r="K727" s="11"/>
      <c r="L727" s="15"/>
      <c r="M727" s="15"/>
      <c r="N727" s="15"/>
      <c r="O727" s="15"/>
      <c r="P727" s="15"/>
      <c r="Q727" s="11"/>
      <c r="R727" s="11"/>
      <c r="S727" s="11"/>
      <c r="T727" s="11"/>
      <c r="U727" s="15"/>
      <c r="V727" s="11"/>
      <c r="W727" s="11"/>
      <c r="X727" s="11"/>
      <c r="Y727" s="11"/>
      <c r="Z727" s="11"/>
    </row>
    <row r="728">
      <c r="A728" s="18"/>
      <c r="B728" s="11"/>
      <c r="C728" s="11"/>
      <c r="D728" s="11"/>
      <c r="E728" s="11"/>
      <c r="F728" s="11"/>
      <c r="G728" s="11"/>
      <c r="H728" s="11"/>
      <c r="I728" s="11"/>
      <c r="J728" s="11"/>
      <c r="K728" s="11"/>
      <c r="L728" s="15"/>
      <c r="M728" s="15"/>
      <c r="N728" s="15"/>
      <c r="O728" s="15"/>
      <c r="P728" s="15"/>
      <c r="Q728" s="11"/>
      <c r="R728" s="11"/>
      <c r="S728" s="11"/>
      <c r="T728" s="11"/>
      <c r="U728" s="15"/>
      <c r="V728" s="11"/>
      <c r="W728" s="11"/>
      <c r="X728" s="11"/>
      <c r="Y728" s="11"/>
      <c r="Z728" s="11"/>
    </row>
    <row r="729">
      <c r="A729" s="18"/>
      <c r="B729" s="11"/>
      <c r="C729" s="11"/>
      <c r="D729" s="11"/>
      <c r="E729" s="11"/>
      <c r="F729" s="11"/>
      <c r="G729" s="11"/>
      <c r="H729" s="11"/>
      <c r="I729" s="11"/>
      <c r="J729" s="11"/>
      <c r="K729" s="11"/>
      <c r="L729" s="15"/>
      <c r="M729" s="15"/>
      <c r="N729" s="15"/>
      <c r="O729" s="15"/>
      <c r="P729" s="15"/>
      <c r="Q729" s="11"/>
      <c r="R729" s="11"/>
      <c r="S729" s="11"/>
      <c r="T729" s="11"/>
      <c r="U729" s="15"/>
      <c r="V729" s="11"/>
      <c r="W729" s="11"/>
      <c r="X729" s="11"/>
      <c r="Y729" s="11"/>
      <c r="Z729" s="11"/>
    </row>
    <row r="730">
      <c r="A730" s="18"/>
      <c r="B730" s="11"/>
      <c r="C730" s="11"/>
      <c r="D730" s="11"/>
      <c r="E730" s="11"/>
      <c r="F730" s="11"/>
      <c r="G730" s="11"/>
      <c r="H730" s="11"/>
      <c r="I730" s="11"/>
      <c r="J730" s="11"/>
      <c r="K730" s="11"/>
      <c r="L730" s="15"/>
      <c r="M730" s="15"/>
      <c r="N730" s="15"/>
      <c r="O730" s="15"/>
      <c r="P730" s="15"/>
      <c r="Q730" s="11"/>
      <c r="R730" s="11"/>
      <c r="S730" s="11"/>
      <c r="T730" s="11"/>
      <c r="U730" s="15"/>
      <c r="V730" s="11"/>
      <c r="W730" s="11"/>
      <c r="X730" s="11"/>
      <c r="Y730" s="11"/>
      <c r="Z730" s="11"/>
    </row>
    <row r="731">
      <c r="A731" s="18"/>
      <c r="B731" s="11"/>
      <c r="C731" s="11"/>
      <c r="D731" s="11"/>
      <c r="E731" s="11"/>
      <c r="F731" s="11"/>
      <c r="G731" s="11"/>
      <c r="H731" s="11"/>
      <c r="I731" s="11"/>
      <c r="J731" s="11"/>
      <c r="K731" s="11"/>
      <c r="L731" s="15"/>
      <c r="M731" s="15"/>
      <c r="N731" s="15"/>
      <c r="O731" s="15"/>
      <c r="P731" s="15"/>
      <c r="Q731" s="11"/>
      <c r="R731" s="11"/>
      <c r="S731" s="11"/>
      <c r="T731" s="11"/>
      <c r="U731" s="15"/>
      <c r="V731" s="11"/>
      <c r="W731" s="11"/>
      <c r="X731" s="11"/>
      <c r="Y731" s="11"/>
      <c r="Z731" s="11"/>
    </row>
    <row r="732">
      <c r="A732" s="18"/>
      <c r="B732" s="11"/>
      <c r="C732" s="11"/>
      <c r="D732" s="11"/>
      <c r="E732" s="11"/>
      <c r="F732" s="11"/>
      <c r="G732" s="11"/>
      <c r="H732" s="11"/>
      <c r="I732" s="11"/>
      <c r="J732" s="11"/>
      <c r="K732" s="11"/>
      <c r="L732" s="15"/>
      <c r="M732" s="15"/>
      <c r="N732" s="15"/>
      <c r="O732" s="15"/>
      <c r="P732" s="15"/>
      <c r="Q732" s="11"/>
      <c r="R732" s="11"/>
      <c r="S732" s="11"/>
      <c r="T732" s="11"/>
      <c r="U732" s="15"/>
      <c r="V732" s="11"/>
      <c r="W732" s="11"/>
      <c r="X732" s="11"/>
      <c r="Y732" s="11"/>
      <c r="Z732" s="11"/>
    </row>
    <row r="733">
      <c r="A733" s="18"/>
      <c r="B733" s="11"/>
      <c r="C733" s="11"/>
      <c r="D733" s="11"/>
      <c r="E733" s="11"/>
      <c r="F733" s="11"/>
      <c r="G733" s="11"/>
      <c r="H733" s="11"/>
      <c r="I733" s="11"/>
      <c r="J733" s="11"/>
      <c r="K733" s="11"/>
      <c r="L733" s="15"/>
      <c r="M733" s="15"/>
      <c r="N733" s="15"/>
      <c r="O733" s="15"/>
      <c r="P733" s="15"/>
      <c r="Q733" s="11"/>
      <c r="R733" s="11"/>
      <c r="S733" s="11"/>
      <c r="T733" s="11"/>
      <c r="U733" s="15"/>
      <c r="V733" s="11"/>
      <c r="W733" s="11"/>
      <c r="X733" s="11"/>
      <c r="Y733" s="11"/>
      <c r="Z733" s="11"/>
    </row>
    <row r="734">
      <c r="A734" s="18"/>
      <c r="B734" s="11"/>
      <c r="C734" s="11"/>
      <c r="D734" s="11"/>
      <c r="E734" s="11"/>
      <c r="F734" s="11"/>
      <c r="G734" s="11"/>
      <c r="H734" s="11"/>
      <c r="I734" s="11"/>
      <c r="J734" s="11"/>
      <c r="K734" s="11"/>
      <c r="L734" s="15"/>
      <c r="M734" s="15"/>
      <c r="N734" s="15"/>
      <c r="O734" s="15"/>
      <c r="P734" s="15"/>
      <c r="Q734" s="11"/>
      <c r="R734" s="11"/>
      <c r="S734" s="11"/>
      <c r="T734" s="11"/>
      <c r="U734" s="15"/>
      <c r="V734" s="11"/>
      <c r="W734" s="11"/>
      <c r="X734" s="11"/>
      <c r="Y734" s="11"/>
      <c r="Z734" s="11"/>
    </row>
    <row r="735">
      <c r="A735" s="18"/>
      <c r="B735" s="11"/>
      <c r="C735" s="11"/>
      <c r="D735" s="11"/>
      <c r="E735" s="11"/>
      <c r="F735" s="11"/>
      <c r="G735" s="11"/>
      <c r="H735" s="11"/>
      <c r="I735" s="11"/>
      <c r="J735" s="11"/>
      <c r="K735" s="11"/>
      <c r="L735" s="15"/>
      <c r="M735" s="15"/>
      <c r="N735" s="15"/>
      <c r="O735" s="15"/>
      <c r="P735" s="15"/>
      <c r="Q735" s="11"/>
      <c r="R735" s="11"/>
      <c r="S735" s="11"/>
      <c r="T735" s="11"/>
      <c r="U735" s="15"/>
      <c r="V735" s="11"/>
      <c r="W735" s="11"/>
      <c r="X735" s="11"/>
      <c r="Y735" s="11"/>
      <c r="Z735" s="11"/>
    </row>
    <row r="736">
      <c r="A736" s="18"/>
      <c r="B736" s="11"/>
      <c r="C736" s="11"/>
      <c r="D736" s="11"/>
      <c r="E736" s="11"/>
      <c r="F736" s="11"/>
      <c r="G736" s="11"/>
      <c r="H736" s="11"/>
      <c r="I736" s="11"/>
      <c r="J736" s="11"/>
      <c r="K736" s="11"/>
      <c r="L736" s="15"/>
      <c r="M736" s="15"/>
      <c r="N736" s="15"/>
      <c r="O736" s="15"/>
      <c r="P736" s="15"/>
      <c r="Q736" s="11"/>
      <c r="R736" s="11"/>
      <c r="S736" s="11"/>
      <c r="T736" s="11"/>
      <c r="U736" s="15"/>
      <c r="V736" s="11"/>
      <c r="W736" s="11"/>
      <c r="X736" s="11"/>
      <c r="Y736" s="11"/>
      <c r="Z736" s="11"/>
    </row>
    <row r="737">
      <c r="A737" s="18"/>
      <c r="B737" s="11"/>
      <c r="C737" s="11"/>
      <c r="D737" s="11"/>
      <c r="E737" s="11"/>
      <c r="F737" s="11"/>
      <c r="G737" s="11"/>
      <c r="H737" s="11"/>
      <c r="I737" s="11"/>
      <c r="J737" s="11"/>
      <c r="K737" s="11"/>
      <c r="L737" s="15"/>
      <c r="M737" s="15"/>
      <c r="N737" s="15"/>
      <c r="O737" s="15"/>
      <c r="P737" s="15"/>
      <c r="Q737" s="11"/>
      <c r="R737" s="11"/>
      <c r="S737" s="11"/>
      <c r="T737" s="11"/>
      <c r="U737" s="15"/>
      <c r="V737" s="11"/>
      <c r="W737" s="11"/>
      <c r="X737" s="11"/>
      <c r="Y737" s="11"/>
      <c r="Z737" s="11"/>
    </row>
    <row r="738">
      <c r="A738" s="18"/>
      <c r="B738" s="11"/>
      <c r="C738" s="11"/>
      <c r="D738" s="11"/>
      <c r="E738" s="11"/>
      <c r="F738" s="11"/>
      <c r="G738" s="11"/>
      <c r="H738" s="11"/>
      <c r="I738" s="11"/>
      <c r="J738" s="11"/>
      <c r="K738" s="11"/>
      <c r="L738" s="15"/>
      <c r="M738" s="15"/>
      <c r="N738" s="15"/>
      <c r="O738" s="15"/>
      <c r="P738" s="15"/>
      <c r="Q738" s="11"/>
      <c r="R738" s="11"/>
      <c r="S738" s="11"/>
      <c r="T738" s="11"/>
      <c r="U738" s="15"/>
      <c r="V738" s="11"/>
      <c r="W738" s="11"/>
      <c r="X738" s="11"/>
      <c r="Y738" s="11"/>
      <c r="Z738" s="11"/>
    </row>
    <row r="739">
      <c r="A739" s="18"/>
      <c r="B739" s="11"/>
      <c r="C739" s="11"/>
      <c r="D739" s="11"/>
      <c r="E739" s="11"/>
      <c r="F739" s="11"/>
      <c r="G739" s="11"/>
      <c r="H739" s="11"/>
      <c r="I739" s="11"/>
      <c r="J739" s="11"/>
      <c r="K739" s="11"/>
      <c r="L739" s="15"/>
      <c r="M739" s="15"/>
      <c r="N739" s="15"/>
      <c r="O739" s="15"/>
      <c r="P739" s="15"/>
      <c r="Q739" s="11"/>
      <c r="R739" s="11"/>
      <c r="S739" s="11"/>
      <c r="T739" s="11"/>
      <c r="U739" s="15"/>
      <c r="V739" s="11"/>
      <c r="W739" s="11"/>
      <c r="X739" s="11"/>
      <c r="Y739" s="11"/>
      <c r="Z739" s="11"/>
    </row>
    <row r="740">
      <c r="A740" s="18"/>
      <c r="B740" s="11"/>
      <c r="C740" s="11"/>
      <c r="D740" s="11"/>
      <c r="E740" s="11"/>
      <c r="F740" s="11"/>
      <c r="G740" s="11"/>
      <c r="H740" s="11"/>
      <c r="I740" s="11"/>
      <c r="J740" s="11"/>
      <c r="K740" s="11"/>
      <c r="L740" s="15"/>
      <c r="M740" s="15"/>
      <c r="N740" s="15"/>
      <c r="O740" s="15"/>
      <c r="P740" s="15"/>
      <c r="Q740" s="11"/>
      <c r="R740" s="11"/>
      <c r="S740" s="11"/>
      <c r="T740" s="11"/>
      <c r="U740" s="15"/>
      <c r="V740" s="11"/>
      <c r="W740" s="11"/>
      <c r="X740" s="11"/>
      <c r="Y740" s="11"/>
      <c r="Z740" s="11"/>
    </row>
    <row r="741">
      <c r="A741" s="18"/>
      <c r="B741" s="11"/>
      <c r="C741" s="11"/>
      <c r="D741" s="11"/>
      <c r="E741" s="11"/>
      <c r="F741" s="11"/>
      <c r="G741" s="11"/>
      <c r="H741" s="11"/>
      <c r="I741" s="11"/>
      <c r="J741" s="11"/>
      <c r="K741" s="11"/>
      <c r="L741" s="15"/>
      <c r="M741" s="15"/>
      <c r="N741" s="15"/>
      <c r="O741" s="15"/>
      <c r="P741" s="15"/>
      <c r="Q741" s="11"/>
      <c r="R741" s="11"/>
      <c r="S741" s="11"/>
      <c r="T741" s="11"/>
      <c r="U741" s="15"/>
      <c r="V741" s="11"/>
      <c r="W741" s="11"/>
      <c r="X741" s="11"/>
      <c r="Y741" s="11"/>
      <c r="Z741" s="11"/>
    </row>
    <row r="742">
      <c r="A742" s="18"/>
      <c r="B742" s="11"/>
      <c r="C742" s="11"/>
      <c r="D742" s="11"/>
      <c r="E742" s="11"/>
      <c r="F742" s="11"/>
      <c r="G742" s="11"/>
      <c r="H742" s="11"/>
      <c r="I742" s="11"/>
      <c r="J742" s="11"/>
      <c r="K742" s="11"/>
      <c r="L742" s="15"/>
      <c r="M742" s="15"/>
      <c r="N742" s="15"/>
      <c r="O742" s="15"/>
      <c r="P742" s="15"/>
      <c r="Q742" s="11"/>
      <c r="R742" s="11"/>
      <c r="S742" s="11"/>
      <c r="T742" s="11"/>
      <c r="U742" s="15"/>
      <c r="V742" s="11"/>
      <c r="W742" s="11"/>
      <c r="X742" s="11"/>
      <c r="Y742" s="11"/>
      <c r="Z742" s="11"/>
    </row>
    <row r="743">
      <c r="A743" s="18"/>
      <c r="B743" s="11"/>
      <c r="C743" s="11"/>
      <c r="D743" s="11"/>
      <c r="E743" s="11"/>
      <c r="F743" s="11"/>
      <c r="G743" s="11"/>
      <c r="H743" s="11"/>
      <c r="I743" s="11"/>
      <c r="J743" s="11"/>
      <c r="K743" s="11"/>
      <c r="L743" s="15"/>
      <c r="M743" s="15"/>
      <c r="N743" s="15"/>
      <c r="O743" s="15"/>
      <c r="P743" s="15"/>
      <c r="Q743" s="11"/>
      <c r="R743" s="11"/>
      <c r="S743" s="11"/>
      <c r="T743" s="11"/>
      <c r="U743" s="15"/>
      <c r="V743" s="11"/>
      <c r="W743" s="11"/>
      <c r="X743" s="11"/>
      <c r="Y743" s="11"/>
      <c r="Z743" s="11"/>
    </row>
    <row r="744">
      <c r="A744" s="18"/>
      <c r="B744" s="11"/>
      <c r="C744" s="11"/>
      <c r="D744" s="11"/>
      <c r="E744" s="11"/>
      <c r="F744" s="11"/>
      <c r="G744" s="11"/>
      <c r="H744" s="11"/>
      <c r="I744" s="11"/>
      <c r="J744" s="11"/>
      <c r="K744" s="11"/>
      <c r="L744" s="15"/>
      <c r="M744" s="15"/>
      <c r="N744" s="15"/>
      <c r="O744" s="15"/>
      <c r="P744" s="15"/>
      <c r="Q744" s="11"/>
      <c r="R744" s="11"/>
      <c r="S744" s="11"/>
      <c r="T744" s="11"/>
      <c r="U744" s="15"/>
      <c r="V744" s="11"/>
      <c r="W744" s="11"/>
      <c r="X744" s="11"/>
      <c r="Y744" s="11"/>
      <c r="Z744" s="11"/>
    </row>
    <row r="745">
      <c r="A745" s="18"/>
      <c r="B745" s="11"/>
      <c r="C745" s="11"/>
      <c r="D745" s="11"/>
      <c r="E745" s="11"/>
      <c r="F745" s="11"/>
      <c r="G745" s="11"/>
      <c r="H745" s="11"/>
      <c r="I745" s="11"/>
      <c r="J745" s="11"/>
      <c r="K745" s="11"/>
      <c r="L745" s="15"/>
      <c r="M745" s="15"/>
      <c r="N745" s="15"/>
      <c r="O745" s="15"/>
      <c r="P745" s="15"/>
      <c r="Q745" s="11"/>
      <c r="R745" s="11"/>
      <c r="S745" s="11"/>
      <c r="T745" s="11"/>
      <c r="U745" s="15"/>
      <c r="V745" s="11"/>
      <c r="W745" s="11"/>
      <c r="X745" s="11"/>
      <c r="Y745" s="11"/>
      <c r="Z745" s="11"/>
    </row>
    <row r="746">
      <c r="A746" s="18"/>
      <c r="B746" s="11"/>
      <c r="C746" s="11"/>
      <c r="D746" s="11"/>
      <c r="E746" s="11"/>
      <c r="F746" s="11"/>
      <c r="G746" s="11"/>
      <c r="H746" s="11"/>
      <c r="I746" s="11"/>
      <c r="J746" s="11"/>
      <c r="K746" s="11"/>
      <c r="L746" s="15"/>
      <c r="M746" s="15"/>
      <c r="N746" s="15"/>
      <c r="O746" s="15"/>
      <c r="P746" s="15"/>
      <c r="Q746" s="11"/>
      <c r="R746" s="11"/>
      <c r="S746" s="11"/>
      <c r="T746" s="11"/>
      <c r="U746" s="15"/>
      <c r="V746" s="11"/>
      <c r="W746" s="11"/>
      <c r="X746" s="11"/>
      <c r="Y746" s="11"/>
      <c r="Z746" s="11"/>
    </row>
    <row r="747">
      <c r="A747" s="18"/>
      <c r="B747" s="11"/>
      <c r="C747" s="11"/>
      <c r="D747" s="11"/>
      <c r="E747" s="11"/>
      <c r="F747" s="11"/>
      <c r="G747" s="11"/>
      <c r="H747" s="11"/>
      <c r="I747" s="11"/>
      <c r="J747" s="11"/>
      <c r="K747" s="11"/>
      <c r="L747" s="15"/>
      <c r="M747" s="15"/>
      <c r="N747" s="15"/>
      <c r="O747" s="15"/>
      <c r="P747" s="15"/>
      <c r="Q747" s="11"/>
      <c r="R747" s="11"/>
      <c r="S747" s="11"/>
      <c r="T747" s="11"/>
      <c r="U747" s="15"/>
      <c r="V747" s="11"/>
      <c r="W747" s="11"/>
      <c r="X747" s="11"/>
      <c r="Y747" s="11"/>
      <c r="Z747" s="11"/>
    </row>
    <row r="748">
      <c r="A748" s="18"/>
      <c r="B748" s="11"/>
      <c r="C748" s="11"/>
      <c r="D748" s="11"/>
      <c r="E748" s="11"/>
      <c r="F748" s="11"/>
      <c r="G748" s="11"/>
      <c r="H748" s="11"/>
      <c r="I748" s="11"/>
      <c r="J748" s="11"/>
      <c r="K748" s="11"/>
      <c r="L748" s="15"/>
      <c r="M748" s="15"/>
      <c r="N748" s="15"/>
      <c r="O748" s="15"/>
      <c r="P748" s="15"/>
      <c r="Q748" s="11"/>
      <c r="R748" s="11"/>
      <c r="S748" s="11"/>
      <c r="T748" s="11"/>
      <c r="U748" s="15"/>
      <c r="V748" s="11"/>
      <c r="W748" s="11"/>
      <c r="X748" s="11"/>
      <c r="Y748" s="11"/>
      <c r="Z748" s="11"/>
    </row>
    <row r="749">
      <c r="A749" s="18"/>
      <c r="B749" s="11"/>
      <c r="C749" s="11"/>
      <c r="D749" s="11"/>
      <c r="E749" s="11"/>
      <c r="F749" s="11"/>
      <c r="G749" s="11"/>
      <c r="H749" s="11"/>
      <c r="I749" s="11"/>
      <c r="J749" s="11"/>
      <c r="K749" s="11"/>
      <c r="L749" s="15"/>
      <c r="M749" s="15"/>
      <c r="N749" s="15"/>
      <c r="O749" s="15"/>
      <c r="P749" s="15"/>
      <c r="Q749" s="11"/>
      <c r="R749" s="11"/>
      <c r="S749" s="11"/>
      <c r="T749" s="11"/>
      <c r="U749" s="15"/>
      <c r="V749" s="11"/>
      <c r="W749" s="11"/>
      <c r="X749" s="11"/>
      <c r="Y749" s="11"/>
      <c r="Z749" s="11"/>
    </row>
    <row r="750">
      <c r="A750" s="18"/>
      <c r="B750" s="11"/>
      <c r="C750" s="11"/>
      <c r="D750" s="11"/>
      <c r="E750" s="11"/>
      <c r="F750" s="11"/>
      <c r="G750" s="11"/>
      <c r="H750" s="11"/>
      <c r="I750" s="11"/>
      <c r="J750" s="11"/>
      <c r="K750" s="11"/>
      <c r="L750" s="15"/>
      <c r="M750" s="15"/>
      <c r="N750" s="15"/>
      <c r="O750" s="15"/>
      <c r="P750" s="15"/>
      <c r="Q750" s="11"/>
      <c r="R750" s="11"/>
      <c r="S750" s="11"/>
      <c r="T750" s="11"/>
      <c r="U750" s="15"/>
      <c r="V750" s="11"/>
      <c r="W750" s="11"/>
      <c r="X750" s="11"/>
      <c r="Y750" s="11"/>
      <c r="Z750" s="11"/>
    </row>
    <row r="751">
      <c r="A751" s="18"/>
      <c r="B751" s="11"/>
      <c r="C751" s="11"/>
      <c r="D751" s="11"/>
      <c r="E751" s="11"/>
      <c r="F751" s="11"/>
      <c r="G751" s="11"/>
      <c r="H751" s="11"/>
      <c r="I751" s="11"/>
      <c r="J751" s="11"/>
      <c r="K751" s="11"/>
      <c r="L751" s="15"/>
      <c r="M751" s="15"/>
      <c r="N751" s="15"/>
      <c r="O751" s="15"/>
      <c r="P751" s="15"/>
      <c r="Q751" s="11"/>
      <c r="R751" s="11"/>
      <c r="S751" s="11"/>
      <c r="T751" s="11"/>
      <c r="U751" s="15"/>
      <c r="V751" s="11"/>
      <c r="W751" s="11"/>
      <c r="X751" s="11"/>
      <c r="Y751" s="11"/>
      <c r="Z751" s="11"/>
    </row>
    <row r="752">
      <c r="A752" s="18"/>
      <c r="B752" s="11"/>
      <c r="C752" s="11"/>
      <c r="D752" s="11"/>
      <c r="E752" s="11"/>
      <c r="F752" s="11"/>
      <c r="G752" s="11"/>
      <c r="H752" s="11"/>
      <c r="I752" s="11"/>
      <c r="J752" s="11"/>
      <c r="K752" s="11"/>
      <c r="L752" s="15"/>
      <c r="M752" s="15"/>
      <c r="N752" s="15"/>
      <c r="O752" s="15"/>
      <c r="P752" s="15"/>
      <c r="Q752" s="11"/>
      <c r="R752" s="11"/>
      <c r="S752" s="11"/>
      <c r="T752" s="11"/>
      <c r="U752" s="15"/>
      <c r="V752" s="11"/>
      <c r="W752" s="11"/>
      <c r="X752" s="11"/>
      <c r="Y752" s="11"/>
      <c r="Z752" s="11"/>
    </row>
    <row r="753">
      <c r="A753" s="18"/>
      <c r="B753" s="11"/>
      <c r="C753" s="11"/>
      <c r="D753" s="11"/>
      <c r="E753" s="11"/>
      <c r="F753" s="11"/>
      <c r="G753" s="11"/>
      <c r="H753" s="11"/>
      <c r="I753" s="11"/>
      <c r="J753" s="11"/>
      <c r="K753" s="11"/>
      <c r="L753" s="15"/>
      <c r="M753" s="15"/>
      <c r="N753" s="15"/>
      <c r="O753" s="15"/>
      <c r="P753" s="15"/>
      <c r="Q753" s="11"/>
      <c r="R753" s="11"/>
      <c r="S753" s="11"/>
      <c r="T753" s="11"/>
      <c r="U753" s="15"/>
      <c r="V753" s="11"/>
      <c r="W753" s="11"/>
      <c r="X753" s="11"/>
      <c r="Y753" s="11"/>
      <c r="Z753" s="11"/>
    </row>
    <row r="754">
      <c r="A754" s="18"/>
      <c r="B754" s="11"/>
      <c r="C754" s="11"/>
      <c r="D754" s="11"/>
      <c r="E754" s="11"/>
      <c r="F754" s="11"/>
      <c r="G754" s="11"/>
      <c r="H754" s="11"/>
      <c r="I754" s="11"/>
      <c r="J754" s="11"/>
      <c r="K754" s="11"/>
      <c r="L754" s="15"/>
      <c r="M754" s="15"/>
      <c r="N754" s="15"/>
      <c r="O754" s="15"/>
      <c r="P754" s="15"/>
      <c r="Q754" s="11"/>
      <c r="R754" s="11"/>
      <c r="S754" s="11"/>
      <c r="T754" s="11"/>
      <c r="U754" s="15"/>
      <c r="V754" s="11"/>
      <c r="W754" s="11"/>
      <c r="X754" s="11"/>
      <c r="Y754" s="11"/>
      <c r="Z754" s="11"/>
    </row>
    <row r="755">
      <c r="A755" s="18"/>
      <c r="B755" s="11"/>
      <c r="C755" s="11"/>
      <c r="D755" s="11"/>
      <c r="E755" s="11"/>
      <c r="F755" s="11"/>
      <c r="G755" s="11"/>
      <c r="H755" s="11"/>
      <c r="I755" s="11"/>
      <c r="J755" s="11"/>
      <c r="K755" s="11"/>
      <c r="L755" s="15"/>
      <c r="M755" s="15"/>
      <c r="N755" s="15"/>
      <c r="O755" s="15"/>
      <c r="P755" s="15"/>
      <c r="Q755" s="11"/>
      <c r="R755" s="11"/>
      <c r="S755" s="11"/>
      <c r="T755" s="11"/>
      <c r="U755" s="15"/>
      <c r="V755" s="11"/>
      <c r="W755" s="11"/>
      <c r="X755" s="11"/>
      <c r="Y755" s="11"/>
      <c r="Z755" s="11"/>
    </row>
    <row r="756">
      <c r="A756" s="18"/>
      <c r="B756" s="11"/>
      <c r="C756" s="11"/>
      <c r="D756" s="11"/>
      <c r="E756" s="11"/>
      <c r="F756" s="11"/>
      <c r="G756" s="11"/>
      <c r="H756" s="11"/>
      <c r="I756" s="11"/>
      <c r="J756" s="11"/>
      <c r="K756" s="11"/>
      <c r="L756" s="15"/>
      <c r="M756" s="15"/>
      <c r="N756" s="15"/>
      <c r="O756" s="15"/>
      <c r="P756" s="15"/>
      <c r="Q756" s="11"/>
      <c r="R756" s="11"/>
      <c r="S756" s="11"/>
      <c r="T756" s="11"/>
      <c r="U756" s="15"/>
      <c r="V756" s="11"/>
      <c r="W756" s="11"/>
      <c r="X756" s="11"/>
      <c r="Y756" s="11"/>
      <c r="Z756" s="11"/>
    </row>
    <row r="757">
      <c r="A757" s="18"/>
      <c r="B757" s="11"/>
      <c r="C757" s="11"/>
      <c r="D757" s="11"/>
      <c r="E757" s="11"/>
      <c r="F757" s="11"/>
      <c r="G757" s="11"/>
      <c r="H757" s="11"/>
      <c r="I757" s="11"/>
      <c r="J757" s="11"/>
      <c r="K757" s="11"/>
      <c r="L757" s="15"/>
      <c r="M757" s="15"/>
      <c r="N757" s="15"/>
      <c r="O757" s="15"/>
      <c r="P757" s="15"/>
      <c r="Q757" s="11"/>
      <c r="R757" s="11"/>
      <c r="S757" s="11"/>
      <c r="T757" s="11"/>
      <c r="U757" s="15"/>
      <c r="V757" s="11"/>
      <c r="W757" s="11"/>
      <c r="X757" s="11"/>
      <c r="Y757" s="11"/>
      <c r="Z757" s="11"/>
    </row>
    <row r="758">
      <c r="A758" s="18"/>
      <c r="B758" s="11"/>
      <c r="C758" s="11"/>
      <c r="D758" s="11"/>
      <c r="E758" s="11"/>
      <c r="F758" s="11"/>
      <c r="G758" s="11"/>
      <c r="H758" s="11"/>
      <c r="I758" s="11"/>
      <c r="J758" s="11"/>
      <c r="K758" s="11"/>
      <c r="L758" s="15"/>
      <c r="M758" s="15"/>
      <c r="N758" s="15"/>
      <c r="O758" s="15"/>
      <c r="P758" s="15"/>
      <c r="Q758" s="11"/>
      <c r="R758" s="11"/>
      <c r="S758" s="11"/>
      <c r="T758" s="11"/>
      <c r="U758" s="15"/>
      <c r="V758" s="11"/>
      <c r="W758" s="11"/>
      <c r="X758" s="11"/>
      <c r="Y758" s="11"/>
      <c r="Z758" s="11"/>
    </row>
    <row r="759">
      <c r="A759" s="18"/>
      <c r="B759" s="11"/>
      <c r="C759" s="11"/>
      <c r="D759" s="11"/>
      <c r="E759" s="11"/>
      <c r="F759" s="11"/>
      <c r="G759" s="11"/>
      <c r="H759" s="11"/>
      <c r="I759" s="11"/>
      <c r="J759" s="11"/>
      <c r="K759" s="11"/>
      <c r="L759" s="15"/>
      <c r="M759" s="15"/>
      <c r="N759" s="15"/>
      <c r="O759" s="15"/>
      <c r="P759" s="15"/>
      <c r="Q759" s="11"/>
      <c r="R759" s="11"/>
      <c r="S759" s="11"/>
      <c r="T759" s="11"/>
      <c r="U759" s="15"/>
      <c r="V759" s="11"/>
      <c r="W759" s="11"/>
      <c r="X759" s="11"/>
      <c r="Y759" s="11"/>
      <c r="Z759" s="11"/>
    </row>
    <row r="760">
      <c r="A760" s="18"/>
      <c r="B760" s="11"/>
      <c r="C760" s="11"/>
      <c r="D760" s="11"/>
      <c r="E760" s="11"/>
      <c r="F760" s="11"/>
      <c r="G760" s="11"/>
      <c r="H760" s="11"/>
      <c r="I760" s="11"/>
      <c r="J760" s="11"/>
      <c r="K760" s="11"/>
      <c r="L760" s="15"/>
      <c r="M760" s="15"/>
      <c r="N760" s="15"/>
      <c r="O760" s="15"/>
      <c r="P760" s="15"/>
      <c r="Q760" s="11"/>
      <c r="R760" s="11"/>
      <c r="S760" s="11"/>
      <c r="T760" s="11"/>
      <c r="U760" s="15"/>
      <c r="V760" s="11"/>
      <c r="W760" s="11"/>
      <c r="X760" s="11"/>
      <c r="Y760" s="11"/>
      <c r="Z760" s="11"/>
    </row>
    <row r="761">
      <c r="A761" s="18"/>
      <c r="B761" s="11"/>
      <c r="C761" s="11"/>
      <c r="D761" s="11"/>
      <c r="E761" s="11"/>
      <c r="F761" s="11"/>
      <c r="G761" s="11"/>
      <c r="H761" s="11"/>
      <c r="I761" s="11"/>
      <c r="J761" s="11"/>
      <c r="K761" s="11"/>
      <c r="L761" s="15"/>
      <c r="M761" s="15"/>
      <c r="N761" s="15"/>
      <c r="O761" s="15"/>
      <c r="P761" s="15"/>
      <c r="Q761" s="11"/>
      <c r="R761" s="11"/>
      <c r="S761" s="11"/>
      <c r="T761" s="11"/>
      <c r="U761" s="15"/>
      <c r="V761" s="11"/>
      <c r="W761" s="11"/>
      <c r="X761" s="11"/>
      <c r="Y761" s="11"/>
      <c r="Z761" s="11"/>
    </row>
    <row r="762">
      <c r="A762" s="18"/>
      <c r="B762" s="11"/>
      <c r="C762" s="11"/>
      <c r="D762" s="11"/>
      <c r="E762" s="11"/>
      <c r="F762" s="11"/>
      <c r="G762" s="11"/>
      <c r="H762" s="11"/>
      <c r="I762" s="11"/>
      <c r="J762" s="11"/>
      <c r="K762" s="11"/>
      <c r="L762" s="15"/>
      <c r="M762" s="15"/>
      <c r="N762" s="15"/>
      <c r="O762" s="15"/>
      <c r="P762" s="15"/>
      <c r="Q762" s="11"/>
      <c r="R762" s="11"/>
      <c r="S762" s="11"/>
      <c r="T762" s="11"/>
      <c r="U762" s="15"/>
      <c r="V762" s="11"/>
      <c r="W762" s="11"/>
      <c r="X762" s="11"/>
      <c r="Y762" s="11"/>
      <c r="Z762" s="11"/>
    </row>
    <row r="763">
      <c r="A763" s="18"/>
      <c r="B763" s="11"/>
      <c r="C763" s="11"/>
      <c r="D763" s="11"/>
      <c r="E763" s="11"/>
      <c r="F763" s="11"/>
      <c r="G763" s="11"/>
      <c r="H763" s="11"/>
      <c r="I763" s="11"/>
      <c r="J763" s="11"/>
      <c r="K763" s="11"/>
      <c r="L763" s="15"/>
      <c r="M763" s="15"/>
      <c r="N763" s="15"/>
      <c r="O763" s="15"/>
      <c r="P763" s="15"/>
      <c r="Q763" s="11"/>
      <c r="R763" s="11"/>
      <c r="S763" s="11"/>
      <c r="T763" s="11"/>
      <c r="U763" s="15"/>
      <c r="V763" s="11"/>
      <c r="W763" s="11"/>
      <c r="X763" s="11"/>
      <c r="Y763" s="11"/>
      <c r="Z763" s="11"/>
    </row>
    <row r="764">
      <c r="A764" s="18"/>
      <c r="B764" s="11"/>
      <c r="C764" s="11"/>
      <c r="D764" s="11"/>
      <c r="E764" s="11"/>
      <c r="F764" s="11"/>
      <c r="G764" s="11"/>
      <c r="H764" s="11"/>
      <c r="I764" s="11"/>
      <c r="J764" s="11"/>
      <c r="K764" s="11"/>
      <c r="L764" s="15"/>
      <c r="M764" s="15"/>
      <c r="N764" s="15"/>
      <c r="O764" s="15"/>
      <c r="P764" s="15"/>
      <c r="Q764" s="11"/>
      <c r="R764" s="11"/>
      <c r="S764" s="11"/>
      <c r="T764" s="11"/>
      <c r="U764" s="15"/>
      <c r="V764" s="11"/>
      <c r="W764" s="11"/>
      <c r="X764" s="11"/>
      <c r="Y764" s="11"/>
      <c r="Z764" s="11"/>
    </row>
    <row r="765">
      <c r="A765" s="18"/>
      <c r="B765" s="11"/>
      <c r="C765" s="11"/>
      <c r="D765" s="11"/>
      <c r="E765" s="11"/>
      <c r="F765" s="11"/>
      <c r="G765" s="11"/>
      <c r="H765" s="11"/>
      <c r="I765" s="11"/>
      <c r="J765" s="11"/>
      <c r="K765" s="11"/>
      <c r="L765" s="15"/>
      <c r="M765" s="15"/>
      <c r="N765" s="15"/>
      <c r="O765" s="15"/>
      <c r="P765" s="15"/>
      <c r="Q765" s="11"/>
      <c r="R765" s="11"/>
      <c r="S765" s="11"/>
      <c r="T765" s="11"/>
      <c r="U765" s="15"/>
      <c r="V765" s="11"/>
      <c r="W765" s="11"/>
      <c r="X765" s="11"/>
      <c r="Y765" s="11"/>
      <c r="Z765" s="11"/>
    </row>
    <row r="766">
      <c r="A766" s="18"/>
      <c r="B766" s="11"/>
      <c r="C766" s="11"/>
      <c r="D766" s="11"/>
      <c r="E766" s="11"/>
      <c r="F766" s="11"/>
      <c r="G766" s="11"/>
      <c r="H766" s="11"/>
      <c r="I766" s="11"/>
      <c r="J766" s="11"/>
      <c r="K766" s="11"/>
      <c r="L766" s="15"/>
      <c r="M766" s="15"/>
      <c r="N766" s="15"/>
      <c r="O766" s="15"/>
      <c r="P766" s="15"/>
      <c r="Q766" s="11"/>
      <c r="R766" s="11"/>
      <c r="S766" s="11"/>
      <c r="T766" s="11"/>
      <c r="U766" s="15"/>
      <c r="V766" s="11"/>
      <c r="W766" s="11"/>
      <c r="X766" s="11"/>
      <c r="Y766" s="11"/>
      <c r="Z766" s="11"/>
    </row>
    <row r="767">
      <c r="A767" s="18"/>
      <c r="B767" s="11"/>
      <c r="C767" s="11"/>
      <c r="D767" s="11"/>
      <c r="E767" s="11"/>
      <c r="F767" s="11"/>
      <c r="G767" s="11"/>
      <c r="H767" s="11"/>
      <c r="I767" s="11"/>
      <c r="J767" s="11"/>
      <c r="K767" s="11"/>
      <c r="L767" s="15"/>
      <c r="M767" s="15"/>
      <c r="N767" s="15"/>
      <c r="O767" s="15"/>
      <c r="P767" s="15"/>
      <c r="Q767" s="11"/>
      <c r="R767" s="11"/>
      <c r="S767" s="11"/>
      <c r="T767" s="11"/>
      <c r="U767" s="15"/>
      <c r="V767" s="11"/>
      <c r="W767" s="11"/>
      <c r="X767" s="11"/>
      <c r="Y767" s="11"/>
      <c r="Z767" s="11"/>
    </row>
    <row r="768">
      <c r="A768" s="18"/>
      <c r="B768" s="11"/>
      <c r="C768" s="11"/>
      <c r="D768" s="11"/>
      <c r="E768" s="11"/>
      <c r="F768" s="11"/>
      <c r="G768" s="11"/>
      <c r="H768" s="11"/>
      <c r="I768" s="11"/>
      <c r="J768" s="11"/>
      <c r="K768" s="11"/>
      <c r="L768" s="15"/>
      <c r="M768" s="15"/>
      <c r="N768" s="15"/>
      <c r="O768" s="15"/>
      <c r="P768" s="15"/>
      <c r="Q768" s="11"/>
      <c r="R768" s="11"/>
      <c r="S768" s="11"/>
      <c r="T768" s="11"/>
      <c r="U768" s="15"/>
      <c r="V768" s="11"/>
      <c r="W768" s="11"/>
      <c r="X768" s="11"/>
      <c r="Y768" s="11"/>
      <c r="Z768" s="11"/>
    </row>
    <row r="769">
      <c r="A769" s="18"/>
      <c r="B769" s="11"/>
      <c r="C769" s="11"/>
      <c r="D769" s="11"/>
      <c r="E769" s="11"/>
      <c r="F769" s="11"/>
      <c r="G769" s="11"/>
      <c r="H769" s="11"/>
      <c r="I769" s="11"/>
      <c r="J769" s="11"/>
      <c r="K769" s="11"/>
      <c r="L769" s="15"/>
      <c r="M769" s="15"/>
      <c r="N769" s="15"/>
      <c r="O769" s="15"/>
      <c r="P769" s="15"/>
      <c r="Q769" s="11"/>
      <c r="R769" s="11"/>
      <c r="S769" s="11"/>
      <c r="T769" s="11"/>
      <c r="U769" s="15"/>
      <c r="V769" s="11"/>
      <c r="W769" s="11"/>
      <c r="X769" s="11"/>
      <c r="Y769" s="11"/>
      <c r="Z769" s="11"/>
    </row>
    <row r="770">
      <c r="A770" s="18"/>
      <c r="B770" s="11"/>
      <c r="C770" s="11"/>
      <c r="D770" s="11"/>
      <c r="E770" s="11"/>
      <c r="F770" s="11"/>
      <c r="G770" s="11"/>
      <c r="H770" s="11"/>
      <c r="I770" s="11"/>
      <c r="J770" s="11"/>
      <c r="K770" s="11"/>
      <c r="L770" s="15"/>
      <c r="M770" s="15"/>
      <c r="N770" s="15"/>
      <c r="O770" s="15"/>
      <c r="P770" s="15"/>
      <c r="Q770" s="11"/>
      <c r="R770" s="11"/>
      <c r="S770" s="11"/>
      <c r="T770" s="11"/>
      <c r="U770" s="15"/>
      <c r="V770" s="11"/>
      <c r="W770" s="11"/>
      <c r="X770" s="11"/>
      <c r="Y770" s="11"/>
      <c r="Z770" s="11"/>
    </row>
    <row r="771">
      <c r="A771" s="18"/>
      <c r="B771" s="11"/>
      <c r="C771" s="11"/>
      <c r="D771" s="11"/>
      <c r="E771" s="11"/>
      <c r="F771" s="11"/>
      <c r="G771" s="11"/>
      <c r="H771" s="11"/>
      <c r="I771" s="11"/>
      <c r="J771" s="11"/>
      <c r="K771" s="11"/>
      <c r="L771" s="15"/>
      <c r="M771" s="15"/>
      <c r="N771" s="15"/>
      <c r="O771" s="15"/>
      <c r="P771" s="15"/>
      <c r="Q771" s="11"/>
      <c r="R771" s="11"/>
      <c r="S771" s="11"/>
      <c r="T771" s="11"/>
      <c r="U771" s="15"/>
      <c r="V771" s="11"/>
      <c r="W771" s="11"/>
      <c r="X771" s="11"/>
      <c r="Y771" s="11"/>
      <c r="Z771" s="11"/>
    </row>
    <row r="772">
      <c r="A772" s="18"/>
      <c r="B772" s="11"/>
      <c r="C772" s="11"/>
      <c r="D772" s="11"/>
      <c r="E772" s="11"/>
      <c r="F772" s="11"/>
      <c r="G772" s="11"/>
      <c r="H772" s="11"/>
      <c r="I772" s="11"/>
      <c r="J772" s="11"/>
      <c r="K772" s="11"/>
      <c r="L772" s="15"/>
      <c r="M772" s="15"/>
      <c r="N772" s="15"/>
      <c r="O772" s="15"/>
      <c r="P772" s="15"/>
      <c r="Q772" s="11"/>
      <c r="R772" s="11"/>
      <c r="S772" s="11"/>
      <c r="T772" s="11"/>
      <c r="U772" s="15"/>
      <c r="V772" s="11"/>
      <c r="W772" s="11"/>
      <c r="X772" s="11"/>
      <c r="Y772" s="11"/>
      <c r="Z772" s="11"/>
    </row>
    <row r="773">
      <c r="A773" s="18"/>
      <c r="B773" s="11"/>
      <c r="C773" s="11"/>
      <c r="D773" s="11"/>
      <c r="E773" s="11"/>
      <c r="F773" s="11"/>
      <c r="G773" s="11"/>
      <c r="H773" s="11"/>
      <c r="I773" s="11"/>
      <c r="J773" s="11"/>
      <c r="K773" s="11"/>
      <c r="L773" s="15"/>
      <c r="M773" s="15"/>
      <c r="N773" s="15"/>
      <c r="O773" s="15"/>
      <c r="P773" s="15"/>
      <c r="Q773" s="11"/>
      <c r="R773" s="11"/>
      <c r="S773" s="11"/>
      <c r="T773" s="11"/>
      <c r="U773" s="15"/>
      <c r="V773" s="11"/>
      <c r="W773" s="11"/>
      <c r="X773" s="11"/>
      <c r="Y773" s="11"/>
      <c r="Z773" s="11"/>
    </row>
    <row r="774">
      <c r="A774" s="18"/>
      <c r="B774" s="11"/>
      <c r="C774" s="11"/>
      <c r="D774" s="11"/>
      <c r="E774" s="11"/>
      <c r="F774" s="11"/>
      <c r="G774" s="11"/>
      <c r="H774" s="11"/>
      <c r="I774" s="11"/>
      <c r="J774" s="11"/>
      <c r="K774" s="11"/>
      <c r="L774" s="15"/>
      <c r="M774" s="15"/>
      <c r="N774" s="15"/>
      <c r="O774" s="15"/>
      <c r="P774" s="15"/>
      <c r="Q774" s="11"/>
      <c r="R774" s="11"/>
      <c r="S774" s="11"/>
      <c r="T774" s="11"/>
      <c r="U774" s="15"/>
      <c r="V774" s="11"/>
      <c r="W774" s="11"/>
      <c r="X774" s="11"/>
      <c r="Y774" s="11"/>
      <c r="Z774" s="11"/>
    </row>
    <row r="775">
      <c r="A775" s="18"/>
      <c r="B775" s="11"/>
      <c r="C775" s="11"/>
      <c r="D775" s="11"/>
      <c r="E775" s="11"/>
      <c r="F775" s="11"/>
      <c r="G775" s="11"/>
      <c r="H775" s="11"/>
      <c r="I775" s="11"/>
      <c r="J775" s="11"/>
      <c r="K775" s="11"/>
      <c r="L775" s="15"/>
      <c r="M775" s="15"/>
      <c r="N775" s="15"/>
      <c r="O775" s="15"/>
      <c r="P775" s="15"/>
      <c r="Q775" s="11"/>
      <c r="R775" s="11"/>
      <c r="S775" s="11"/>
      <c r="T775" s="11"/>
      <c r="U775" s="15"/>
      <c r="V775" s="11"/>
      <c r="W775" s="11"/>
      <c r="X775" s="11"/>
      <c r="Y775" s="11"/>
      <c r="Z775" s="11"/>
    </row>
    <row r="776">
      <c r="A776" s="18"/>
      <c r="B776" s="11"/>
      <c r="C776" s="11"/>
      <c r="D776" s="11"/>
      <c r="E776" s="11"/>
      <c r="F776" s="11"/>
      <c r="G776" s="11"/>
      <c r="H776" s="11"/>
      <c r="I776" s="11"/>
      <c r="J776" s="11"/>
      <c r="K776" s="11"/>
      <c r="L776" s="15"/>
      <c r="M776" s="15"/>
      <c r="N776" s="15"/>
      <c r="O776" s="15"/>
      <c r="P776" s="15"/>
      <c r="Q776" s="11"/>
      <c r="R776" s="11"/>
      <c r="S776" s="11"/>
      <c r="T776" s="11"/>
      <c r="U776" s="15"/>
      <c r="V776" s="11"/>
      <c r="W776" s="11"/>
      <c r="X776" s="11"/>
      <c r="Y776" s="11"/>
      <c r="Z776" s="11"/>
    </row>
    <row r="777">
      <c r="A777" s="18"/>
      <c r="B777" s="11"/>
      <c r="C777" s="11"/>
      <c r="D777" s="11"/>
      <c r="E777" s="11"/>
      <c r="F777" s="11"/>
      <c r="G777" s="11"/>
      <c r="H777" s="11"/>
      <c r="I777" s="11"/>
      <c r="J777" s="11"/>
      <c r="K777" s="11"/>
      <c r="L777" s="15"/>
      <c r="M777" s="15"/>
      <c r="N777" s="15"/>
      <c r="O777" s="15"/>
      <c r="P777" s="15"/>
      <c r="Q777" s="11"/>
      <c r="R777" s="11"/>
      <c r="S777" s="11"/>
      <c r="T777" s="11"/>
      <c r="U777" s="15"/>
      <c r="V777" s="11"/>
      <c r="W777" s="11"/>
      <c r="X777" s="11"/>
      <c r="Y777" s="11"/>
      <c r="Z777" s="11"/>
    </row>
    <row r="778">
      <c r="A778" s="18"/>
      <c r="B778" s="11"/>
      <c r="C778" s="11"/>
      <c r="D778" s="11"/>
      <c r="E778" s="11"/>
      <c r="F778" s="11"/>
      <c r="G778" s="11"/>
      <c r="H778" s="11"/>
      <c r="I778" s="11"/>
      <c r="J778" s="11"/>
      <c r="K778" s="11"/>
      <c r="L778" s="15"/>
      <c r="M778" s="15"/>
      <c r="N778" s="15"/>
      <c r="O778" s="15"/>
      <c r="P778" s="15"/>
      <c r="Q778" s="11"/>
      <c r="R778" s="11"/>
      <c r="S778" s="11"/>
      <c r="T778" s="11"/>
      <c r="U778" s="15"/>
      <c r="V778" s="11"/>
      <c r="W778" s="11"/>
      <c r="X778" s="11"/>
      <c r="Y778" s="11"/>
      <c r="Z778" s="11"/>
    </row>
    <row r="779">
      <c r="A779" s="18"/>
      <c r="B779" s="11"/>
      <c r="C779" s="11"/>
      <c r="D779" s="11"/>
      <c r="E779" s="11"/>
      <c r="F779" s="11"/>
      <c r="G779" s="11"/>
      <c r="H779" s="11"/>
      <c r="I779" s="11"/>
      <c r="J779" s="11"/>
      <c r="K779" s="11"/>
      <c r="L779" s="15"/>
      <c r="M779" s="15"/>
      <c r="N779" s="15"/>
      <c r="O779" s="15"/>
      <c r="P779" s="15"/>
      <c r="Q779" s="11"/>
      <c r="R779" s="11"/>
      <c r="S779" s="11"/>
      <c r="T779" s="11"/>
      <c r="U779" s="15"/>
      <c r="V779" s="11"/>
      <c r="W779" s="11"/>
      <c r="X779" s="11"/>
      <c r="Y779" s="11"/>
      <c r="Z779" s="11"/>
    </row>
    <row r="780">
      <c r="A780" s="18"/>
      <c r="B780" s="11"/>
      <c r="C780" s="11"/>
      <c r="D780" s="11"/>
      <c r="E780" s="11"/>
      <c r="F780" s="11"/>
      <c r="G780" s="11"/>
      <c r="H780" s="11"/>
      <c r="I780" s="11"/>
      <c r="J780" s="11"/>
      <c r="K780" s="11"/>
      <c r="L780" s="15"/>
      <c r="M780" s="15"/>
      <c r="N780" s="15"/>
      <c r="O780" s="15"/>
      <c r="P780" s="15"/>
      <c r="Q780" s="11"/>
      <c r="R780" s="11"/>
      <c r="S780" s="11"/>
      <c r="T780" s="11"/>
      <c r="U780" s="15"/>
      <c r="V780" s="11"/>
      <c r="W780" s="11"/>
      <c r="X780" s="11"/>
      <c r="Y780" s="11"/>
      <c r="Z780" s="11"/>
    </row>
    <row r="781">
      <c r="A781" s="18"/>
      <c r="B781" s="11"/>
      <c r="C781" s="11"/>
      <c r="D781" s="11"/>
      <c r="E781" s="11"/>
      <c r="F781" s="11"/>
      <c r="G781" s="11"/>
      <c r="H781" s="11"/>
      <c r="I781" s="11"/>
      <c r="J781" s="11"/>
      <c r="K781" s="11"/>
      <c r="L781" s="15"/>
      <c r="M781" s="15"/>
      <c r="N781" s="15"/>
      <c r="O781" s="15"/>
      <c r="P781" s="15"/>
      <c r="Q781" s="11"/>
      <c r="R781" s="11"/>
      <c r="S781" s="11"/>
      <c r="T781" s="11"/>
      <c r="U781" s="15"/>
      <c r="V781" s="11"/>
      <c r="W781" s="11"/>
      <c r="X781" s="11"/>
      <c r="Y781" s="11"/>
      <c r="Z781" s="11"/>
    </row>
    <row r="782">
      <c r="A782" s="18"/>
      <c r="B782" s="11"/>
      <c r="C782" s="11"/>
      <c r="D782" s="11"/>
      <c r="E782" s="11"/>
      <c r="F782" s="11"/>
      <c r="G782" s="11"/>
      <c r="H782" s="11"/>
      <c r="I782" s="11"/>
      <c r="J782" s="11"/>
      <c r="K782" s="11"/>
      <c r="L782" s="15"/>
      <c r="M782" s="15"/>
      <c r="N782" s="15"/>
      <c r="O782" s="15"/>
      <c r="P782" s="15"/>
      <c r="Q782" s="11"/>
      <c r="R782" s="11"/>
      <c r="S782" s="11"/>
      <c r="T782" s="11"/>
      <c r="U782" s="15"/>
      <c r="V782" s="11"/>
      <c r="W782" s="11"/>
      <c r="X782" s="11"/>
      <c r="Y782" s="11"/>
      <c r="Z782" s="11"/>
    </row>
    <row r="783">
      <c r="A783" s="18"/>
      <c r="B783" s="11"/>
      <c r="C783" s="11"/>
      <c r="D783" s="11"/>
      <c r="E783" s="11"/>
      <c r="F783" s="11"/>
      <c r="G783" s="11"/>
      <c r="H783" s="11"/>
      <c r="I783" s="11"/>
      <c r="J783" s="11"/>
      <c r="K783" s="11"/>
      <c r="L783" s="15"/>
      <c r="M783" s="15"/>
      <c r="N783" s="15"/>
      <c r="O783" s="15"/>
      <c r="P783" s="15"/>
      <c r="Q783" s="11"/>
      <c r="R783" s="11"/>
      <c r="S783" s="11"/>
      <c r="T783" s="11"/>
      <c r="U783" s="15"/>
      <c r="V783" s="11"/>
      <c r="W783" s="11"/>
      <c r="X783" s="11"/>
      <c r="Y783" s="11"/>
      <c r="Z783" s="11"/>
    </row>
    <row r="784">
      <c r="A784" s="18"/>
      <c r="B784" s="11"/>
      <c r="C784" s="11"/>
      <c r="D784" s="11"/>
      <c r="E784" s="11"/>
      <c r="F784" s="11"/>
      <c r="G784" s="11"/>
      <c r="H784" s="11"/>
      <c r="I784" s="11"/>
      <c r="J784" s="11"/>
      <c r="K784" s="11"/>
      <c r="L784" s="15"/>
      <c r="M784" s="15"/>
      <c r="N784" s="15"/>
      <c r="O784" s="15"/>
      <c r="P784" s="15"/>
      <c r="Q784" s="11"/>
      <c r="R784" s="11"/>
      <c r="S784" s="11"/>
      <c r="T784" s="11"/>
      <c r="U784" s="15"/>
      <c r="V784" s="11"/>
      <c r="W784" s="11"/>
      <c r="X784" s="11"/>
      <c r="Y784" s="11"/>
      <c r="Z784" s="11"/>
    </row>
    <row r="785">
      <c r="A785" s="18"/>
      <c r="B785" s="11"/>
      <c r="C785" s="11"/>
      <c r="D785" s="11"/>
      <c r="E785" s="11"/>
      <c r="F785" s="11"/>
      <c r="G785" s="11"/>
      <c r="H785" s="11"/>
      <c r="I785" s="11"/>
      <c r="J785" s="11"/>
      <c r="K785" s="11"/>
      <c r="L785" s="15"/>
      <c r="M785" s="15"/>
      <c r="N785" s="15"/>
      <c r="O785" s="15"/>
      <c r="P785" s="15"/>
      <c r="Q785" s="11"/>
      <c r="R785" s="11"/>
      <c r="S785" s="11"/>
      <c r="T785" s="11"/>
      <c r="U785" s="15"/>
      <c r="V785" s="11"/>
      <c r="W785" s="11"/>
      <c r="X785" s="11"/>
      <c r="Y785" s="11"/>
      <c r="Z785" s="11"/>
    </row>
    <row r="786">
      <c r="A786" s="18"/>
      <c r="B786" s="11"/>
      <c r="C786" s="11"/>
      <c r="D786" s="11"/>
      <c r="E786" s="11"/>
      <c r="F786" s="11"/>
      <c r="G786" s="11"/>
      <c r="H786" s="11"/>
      <c r="I786" s="11"/>
      <c r="J786" s="11"/>
      <c r="K786" s="11"/>
      <c r="L786" s="15"/>
      <c r="M786" s="15"/>
      <c r="N786" s="15"/>
      <c r="O786" s="15"/>
      <c r="P786" s="15"/>
      <c r="Q786" s="11"/>
      <c r="R786" s="11"/>
      <c r="S786" s="11"/>
      <c r="T786" s="11"/>
      <c r="U786" s="15"/>
      <c r="V786" s="11"/>
      <c r="W786" s="11"/>
      <c r="X786" s="11"/>
      <c r="Y786" s="11"/>
      <c r="Z786" s="11"/>
    </row>
    <row r="787">
      <c r="A787" s="18"/>
      <c r="B787" s="11"/>
      <c r="C787" s="11"/>
      <c r="D787" s="11"/>
      <c r="E787" s="11"/>
      <c r="F787" s="11"/>
      <c r="G787" s="11"/>
      <c r="H787" s="11"/>
      <c r="I787" s="11"/>
      <c r="J787" s="11"/>
      <c r="K787" s="11"/>
      <c r="L787" s="15"/>
      <c r="M787" s="15"/>
      <c r="N787" s="15"/>
      <c r="O787" s="15"/>
      <c r="P787" s="15"/>
      <c r="Q787" s="11"/>
      <c r="R787" s="11"/>
      <c r="S787" s="11"/>
      <c r="T787" s="11"/>
      <c r="U787" s="15"/>
      <c r="V787" s="11"/>
      <c r="W787" s="11"/>
      <c r="X787" s="11"/>
      <c r="Y787" s="11"/>
      <c r="Z787" s="11"/>
    </row>
    <row r="788">
      <c r="A788" s="18"/>
      <c r="B788" s="11"/>
      <c r="C788" s="11"/>
      <c r="D788" s="11"/>
      <c r="E788" s="11"/>
      <c r="F788" s="11"/>
      <c r="G788" s="11"/>
      <c r="H788" s="11"/>
      <c r="I788" s="11"/>
      <c r="J788" s="11"/>
      <c r="K788" s="11"/>
      <c r="L788" s="15"/>
      <c r="M788" s="15"/>
      <c r="N788" s="15"/>
      <c r="O788" s="15"/>
      <c r="P788" s="15"/>
      <c r="Q788" s="11"/>
      <c r="R788" s="11"/>
      <c r="S788" s="11"/>
      <c r="T788" s="11"/>
      <c r="U788" s="15"/>
      <c r="V788" s="11"/>
      <c r="W788" s="11"/>
      <c r="X788" s="11"/>
      <c r="Y788" s="11"/>
      <c r="Z788" s="11"/>
    </row>
    <row r="789">
      <c r="A789" s="18"/>
      <c r="B789" s="11"/>
      <c r="C789" s="11"/>
      <c r="D789" s="11"/>
      <c r="E789" s="11"/>
      <c r="F789" s="11"/>
      <c r="G789" s="11"/>
      <c r="H789" s="11"/>
      <c r="I789" s="11"/>
      <c r="J789" s="11"/>
      <c r="K789" s="11"/>
      <c r="L789" s="15"/>
      <c r="M789" s="15"/>
      <c r="N789" s="15"/>
      <c r="O789" s="15"/>
      <c r="P789" s="15"/>
      <c r="Q789" s="11"/>
      <c r="R789" s="11"/>
      <c r="S789" s="11"/>
      <c r="T789" s="11"/>
      <c r="U789" s="15"/>
      <c r="V789" s="11"/>
      <c r="W789" s="11"/>
      <c r="X789" s="11"/>
      <c r="Y789" s="11"/>
      <c r="Z789" s="11"/>
    </row>
    <row r="790">
      <c r="A790" s="18"/>
      <c r="B790" s="11"/>
      <c r="C790" s="11"/>
      <c r="D790" s="11"/>
      <c r="E790" s="11"/>
      <c r="F790" s="11"/>
      <c r="G790" s="11"/>
      <c r="H790" s="11"/>
      <c r="I790" s="11"/>
      <c r="J790" s="11"/>
      <c r="K790" s="11"/>
      <c r="L790" s="15"/>
      <c r="M790" s="15"/>
      <c r="N790" s="15"/>
      <c r="O790" s="15"/>
      <c r="P790" s="15"/>
      <c r="Q790" s="11"/>
      <c r="R790" s="11"/>
      <c r="S790" s="11"/>
      <c r="T790" s="11"/>
      <c r="U790" s="15"/>
      <c r="V790" s="11"/>
      <c r="W790" s="11"/>
      <c r="X790" s="11"/>
      <c r="Y790" s="11"/>
      <c r="Z790" s="11"/>
    </row>
    <row r="791">
      <c r="A791" s="18"/>
      <c r="B791" s="11"/>
      <c r="C791" s="11"/>
      <c r="D791" s="11"/>
      <c r="E791" s="11"/>
      <c r="F791" s="11"/>
      <c r="G791" s="11"/>
      <c r="H791" s="11"/>
      <c r="I791" s="11"/>
      <c r="J791" s="11"/>
      <c r="K791" s="11"/>
      <c r="L791" s="15"/>
      <c r="M791" s="15"/>
      <c r="N791" s="15"/>
      <c r="O791" s="15"/>
      <c r="P791" s="15"/>
      <c r="Q791" s="11"/>
      <c r="R791" s="11"/>
      <c r="S791" s="11"/>
      <c r="T791" s="11"/>
      <c r="U791" s="15"/>
      <c r="V791" s="11"/>
      <c r="W791" s="11"/>
      <c r="X791" s="11"/>
      <c r="Y791" s="11"/>
      <c r="Z791" s="11"/>
    </row>
    <row r="792">
      <c r="A792" s="18"/>
      <c r="B792" s="11"/>
      <c r="C792" s="11"/>
      <c r="D792" s="11"/>
      <c r="E792" s="11"/>
      <c r="F792" s="11"/>
      <c r="G792" s="11"/>
      <c r="H792" s="11"/>
      <c r="I792" s="11"/>
      <c r="J792" s="11"/>
      <c r="K792" s="11"/>
      <c r="L792" s="15"/>
      <c r="M792" s="15"/>
      <c r="N792" s="15"/>
      <c r="O792" s="15"/>
      <c r="P792" s="15"/>
      <c r="Q792" s="11"/>
      <c r="R792" s="11"/>
      <c r="S792" s="11"/>
      <c r="T792" s="11"/>
      <c r="U792" s="15"/>
      <c r="V792" s="11"/>
      <c r="W792" s="11"/>
      <c r="X792" s="11"/>
      <c r="Y792" s="11"/>
      <c r="Z792" s="11"/>
    </row>
    <row r="793">
      <c r="A793" s="18"/>
      <c r="B793" s="11"/>
      <c r="C793" s="11"/>
      <c r="D793" s="11"/>
      <c r="E793" s="11"/>
      <c r="F793" s="11"/>
      <c r="G793" s="11"/>
      <c r="H793" s="11"/>
      <c r="I793" s="11"/>
      <c r="J793" s="11"/>
      <c r="K793" s="11"/>
      <c r="L793" s="15"/>
      <c r="M793" s="15"/>
      <c r="N793" s="15"/>
      <c r="O793" s="15"/>
      <c r="P793" s="15"/>
      <c r="Q793" s="11"/>
      <c r="R793" s="11"/>
      <c r="S793" s="11"/>
      <c r="T793" s="11"/>
      <c r="U793" s="15"/>
      <c r="V793" s="11"/>
      <c r="W793" s="11"/>
      <c r="X793" s="11"/>
      <c r="Y793" s="11"/>
      <c r="Z793" s="11"/>
    </row>
    <row r="794">
      <c r="A794" s="18"/>
      <c r="B794" s="11"/>
      <c r="C794" s="11"/>
      <c r="D794" s="11"/>
      <c r="E794" s="11"/>
      <c r="F794" s="11"/>
      <c r="G794" s="11"/>
      <c r="H794" s="11"/>
      <c r="I794" s="11"/>
      <c r="J794" s="11"/>
      <c r="K794" s="11"/>
      <c r="L794" s="15"/>
      <c r="M794" s="15"/>
      <c r="N794" s="15"/>
      <c r="O794" s="15"/>
      <c r="P794" s="15"/>
      <c r="Q794" s="11"/>
      <c r="R794" s="11"/>
      <c r="S794" s="11"/>
      <c r="T794" s="11"/>
      <c r="U794" s="15"/>
      <c r="V794" s="11"/>
      <c r="W794" s="11"/>
      <c r="X794" s="11"/>
      <c r="Y794" s="11"/>
      <c r="Z794" s="11"/>
    </row>
    <row r="795">
      <c r="A795" s="18"/>
      <c r="B795" s="11"/>
      <c r="C795" s="11"/>
      <c r="D795" s="11"/>
      <c r="E795" s="11"/>
      <c r="F795" s="11"/>
      <c r="G795" s="11"/>
      <c r="H795" s="11"/>
      <c r="I795" s="11"/>
      <c r="J795" s="11"/>
      <c r="K795" s="11"/>
      <c r="L795" s="15"/>
      <c r="M795" s="15"/>
      <c r="N795" s="15"/>
      <c r="O795" s="15"/>
      <c r="P795" s="15"/>
      <c r="Q795" s="11"/>
      <c r="R795" s="11"/>
      <c r="S795" s="11"/>
      <c r="T795" s="11"/>
      <c r="U795" s="15"/>
      <c r="V795" s="11"/>
      <c r="W795" s="11"/>
      <c r="X795" s="11"/>
      <c r="Y795" s="11"/>
      <c r="Z795" s="11"/>
    </row>
    <row r="796">
      <c r="A796" s="18"/>
      <c r="B796" s="11"/>
      <c r="C796" s="11"/>
      <c r="D796" s="11"/>
      <c r="E796" s="11"/>
      <c r="F796" s="11"/>
      <c r="G796" s="11"/>
      <c r="H796" s="11"/>
      <c r="I796" s="11"/>
      <c r="J796" s="11"/>
      <c r="K796" s="11"/>
      <c r="L796" s="15"/>
      <c r="M796" s="15"/>
      <c r="N796" s="15"/>
      <c r="O796" s="15"/>
      <c r="P796" s="15"/>
      <c r="Q796" s="11"/>
      <c r="R796" s="11"/>
      <c r="S796" s="11"/>
      <c r="T796" s="11"/>
      <c r="U796" s="15"/>
      <c r="V796" s="11"/>
      <c r="W796" s="11"/>
      <c r="X796" s="11"/>
      <c r="Y796" s="11"/>
      <c r="Z796" s="11"/>
    </row>
    <row r="797">
      <c r="A797" s="18"/>
      <c r="B797" s="11"/>
      <c r="C797" s="11"/>
      <c r="D797" s="11"/>
      <c r="E797" s="11"/>
      <c r="F797" s="11"/>
      <c r="G797" s="11"/>
      <c r="H797" s="11"/>
      <c r="I797" s="11"/>
      <c r="J797" s="11"/>
      <c r="K797" s="11"/>
      <c r="L797" s="15"/>
      <c r="M797" s="15"/>
      <c r="N797" s="15"/>
      <c r="O797" s="15"/>
      <c r="P797" s="15"/>
      <c r="Q797" s="11"/>
      <c r="R797" s="11"/>
      <c r="S797" s="11"/>
      <c r="T797" s="11"/>
      <c r="U797" s="15"/>
      <c r="V797" s="11"/>
      <c r="W797" s="11"/>
      <c r="X797" s="11"/>
      <c r="Y797" s="11"/>
      <c r="Z797" s="11"/>
    </row>
    <row r="798">
      <c r="A798" s="18"/>
      <c r="B798" s="11"/>
      <c r="C798" s="11"/>
      <c r="D798" s="11"/>
      <c r="E798" s="11"/>
      <c r="F798" s="11"/>
      <c r="G798" s="11"/>
      <c r="H798" s="11"/>
      <c r="I798" s="11"/>
      <c r="J798" s="11"/>
      <c r="K798" s="11"/>
      <c r="L798" s="15"/>
      <c r="M798" s="15"/>
      <c r="N798" s="15"/>
      <c r="O798" s="15"/>
      <c r="P798" s="15"/>
      <c r="Q798" s="11"/>
      <c r="R798" s="11"/>
      <c r="S798" s="11"/>
      <c r="T798" s="11"/>
      <c r="U798" s="15"/>
      <c r="V798" s="11"/>
      <c r="W798" s="11"/>
      <c r="X798" s="11"/>
      <c r="Y798" s="11"/>
      <c r="Z798" s="11"/>
    </row>
    <row r="799">
      <c r="A799" s="18"/>
      <c r="B799" s="11"/>
      <c r="C799" s="11"/>
      <c r="D799" s="11"/>
      <c r="E799" s="11"/>
      <c r="F799" s="11"/>
      <c r="G799" s="11"/>
      <c r="H799" s="11"/>
      <c r="I799" s="11"/>
      <c r="J799" s="11"/>
      <c r="K799" s="11"/>
      <c r="L799" s="15"/>
      <c r="M799" s="15"/>
      <c r="N799" s="15"/>
      <c r="O799" s="15"/>
      <c r="P799" s="15"/>
      <c r="Q799" s="11"/>
      <c r="R799" s="11"/>
      <c r="S799" s="11"/>
      <c r="T799" s="11"/>
      <c r="U799" s="15"/>
      <c r="V799" s="11"/>
      <c r="W799" s="11"/>
      <c r="X799" s="11"/>
      <c r="Y799" s="11"/>
      <c r="Z799" s="11"/>
    </row>
    <row r="800">
      <c r="A800" s="18"/>
      <c r="B800" s="11"/>
      <c r="C800" s="11"/>
      <c r="D800" s="11"/>
      <c r="E800" s="11"/>
      <c r="F800" s="11"/>
      <c r="G800" s="11"/>
      <c r="H800" s="11"/>
      <c r="I800" s="11"/>
      <c r="J800" s="11"/>
      <c r="K800" s="11"/>
      <c r="L800" s="15"/>
      <c r="M800" s="15"/>
      <c r="N800" s="15"/>
      <c r="O800" s="15"/>
      <c r="P800" s="15"/>
      <c r="Q800" s="11"/>
      <c r="R800" s="11"/>
      <c r="S800" s="11"/>
      <c r="T800" s="11"/>
      <c r="U800" s="15"/>
      <c r="V800" s="11"/>
      <c r="W800" s="11"/>
      <c r="X800" s="11"/>
      <c r="Y800" s="11"/>
      <c r="Z800" s="11"/>
    </row>
    <row r="801">
      <c r="A801" s="18"/>
      <c r="B801" s="11"/>
      <c r="C801" s="11"/>
      <c r="D801" s="11"/>
      <c r="E801" s="11"/>
      <c r="F801" s="11"/>
      <c r="G801" s="11"/>
      <c r="H801" s="11"/>
      <c r="I801" s="11"/>
      <c r="J801" s="11"/>
      <c r="K801" s="11"/>
      <c r="L801" s="15"/>
      <c r="M801" s="15"/>
      <c r="N801" s="15"/>
      <c r="O801" s="15"/>
      <c r="P801" s="15"/>
      <c r="Q801" s="11"/>
      <c r="R801" s="11"/>
      <c r="S801" s="11"/>
      <c r="T801" s="11"/>
      <c r="U801" s="15"/>
      <c r="V801" s="11"/>
      <c r="W801" s="11"/>
      <c r="X801" s="11"/>
      <c r="Y801" s="11"/>
      <c r="Z801" s="11"/>
    </row>
    <row r="802">
      <c r="A802" s="18"/>
      <c r="B802" s="11"/>
      <c r="C802" s="11"/>
      <c r="D802" s="11"/>
      <c r="E802" s="11"/>
      <c r="F802" s="11"/>
      <c r="G802" s="11"/>
      <c r="H802" s="11"/>
      <c r="I802" s="11"/>
      <c r="J802" s="11"/>
      <c r="K802" s="11"/>
      <c r="L802" s="15"/>
      <c r="M802" s="15"/>
      <c r="N802" s="15"/>
      <c r="O802" s="15"/>
      <c r="P802" s="15"/>
      <c r="Q802" s="11"/>
      <c r="R802" s="11"/>
      <c r="S802" s="11"/>
      <c r="T802" s="11"/>
      <c r="U802" s="15"/>
      <c r="V802" s="11"/>
      <c r="W802" s="11"/>
      <c r="X802" s="11"/>
      <c r="Y802" s="11"/>
      <c r="Z802" s="11"/>
    </row>
    <row r="803">
      <c r="A803" s="18"/>
      <c r="B803" s="11"/>
      <c r="C803" s="11"/>
      <c r="D803" s="11"/>
      <c r="E803" s="11"/>
      <c r="F803" s="11"/>
      <c r="G803" s="11"/>
      <c r="H803" s="11"/>
      <c r="I803" s="11"/>
      <c r="J803" s="11"/>
      <c r="K803" s="11"/>
      <c r="L803" s="15"/>
      <c r="M803" s="15"/>
      <c r="N803" s="15"/>
      <c r="O803" s="15"/>
      <c r="P803" s="15"/>
      <c r="Q803" s="11"/>
      <c r="R803" s="11"/>
      <c r="S803" s="11"/>
      <c r="T803" s="11"/>
      <c r="U803" s="15"/>
      <c r="V803" s="11"/>
      <c r="W803" s="11"/>
      <c r="X803" s="11"/>
      <c r="Y803" s="11"/>
      <c r="Z803" s="11"/>
    </row>
    <row r="804">
      <c r="A804" s="18"/>
      <c r="B804" s="11"/>
      <c r="C804" s="11"/>
      <c r="D804" s="11"/>
      <c r="E804" s="11"/>
      <c r="F804" s="11"/>
      <c r="G804" s="11"/>
      <c r="H804" s="11"/>
      <c r="I804" s="11"/>
      <c r="J804" s="11"/>
      <c r="K804" s="11"/>
      <c r="L804" s="15"/>
      <c r="M804" s="15"/>
      <c r="N804" s="15"/>
      <c r="O804" s="15"/>
      <c r="P804" s="15"/>
      <c r="Q804" s="11"/>
      <c r="R804" s="11"/>
      <c r="S804" s="11"/>
      <c r="T804" s="11"/>
      <c r="U804" s="15"/>
      <c r="V804" s="11"/>
      <c r="W804" s="11"/>
      <c r="X804" s="11"/>
      <c r="Y804" s="11"/>
      <c r="Z804" s="11"/>
    </row>
    <row r="805">
      <c r="A805" s="18"/>
      <c r="B805" s="11"/>
      <c r="C805" s="11"/>
      <c r="D805" s="11"/>
      <c r="E805" s="11"/>
      <c r="F805" s="11"/>
      <c r="G805" s="11"/>
      <c r="H805" s="11"/>
      <c r="I805" s="11"/>
      <c r="J805" s="11"/>
      <c r="K805" s="11"/>
      <c r="L805" s="15"/>
      <c r="M805" s="15"/>
      <c r="N805" s="15"/>
      <c r="O805" s="15"/>
      <c r="P805" s="15"/>
      <c r="Q805" s="11"/>
      <c r="R805" s="11"/>
      <c r="S805" s="11"/>
      <c r="T805" s="11"/>
      <c r="U805" s="15"/>
      <c r="V805" s="11"/>
      <c r="W805" s="11"/>
      <c r="X805" s="11"/>
      <c r="Y805" s="11"/>
      <c r="Z805" s="11"/>
    </row>
    <row r="806">
      <c r="A806" s="18"/>
      <c r="B806" s="11"/>
      <c r="C806" s="11"/>
      <c r="D806" s="11"/>
      <c r="E806" s="11"/>
      <c r="F806" s="11"/>
      <c r="G806" s="11"/>
      <c r="H806" s="11"/>
      <c r="I806" s="11"/>
      <c r="J806" s="11"/>
      <c r="K806" s="11"/>
      <c r="L806" s="15"/>
      <c r="M806" s="15"/>
      <c r="N806" s="15"/>
      <c r="O806" s="15"/>
      <c r="P806" s="15"/>
      <c r="Q806" s="11"/>
      <c r="R806" s="11"/>
      <c r="S806" s="11"/>
      <c r="T806" s="11"/>
      <c r="U806" s="15"/>
      <c r="V806" s="11"/>
      <c r="W806" s="11"/>
      <c r="X806" s="11"/>
      <c r="Y806" s="11"/>
      <c r="Z806" s="11"/>
    </row>
    <row r="807">
      <c r="A807" s="18"/>
      <c r="B807" s="11"/>
      <c r="C807" s="11"/>
      <c r="D807" s="11"/>
      <c r="E807" s="11"/>
      <c r="F807" s="11"/>
      <c r="G807" s="11"/>
      <c r="H807" s="11"/>
      <c r="I807" s="11"/>
      <c r="J807" s="11"/>
      <c r="K807" s="11"/>
      <c r="L807" s="15"/>
      <c r="M807" s="15"/>
      <c r="N807" s="15"/>
      <c r="O807" s="15"/>
      <c r="P807" s="15"/>
      <c r="Q807" s="11"/>
      <c r="R807" s="11"/>
      <c r="S807" s="11"/>
      <c r="T807" s="11"/>
      <c r="U807" s="15"/>
      <c r="V807" s="11"/>
      <c r="W807" s="11"/>
      <c r="X807" s="11"/>
      <c r="Y807" s="11"/>
      <c r="Z807" s="11"/>
    </row>
    <row r="808">
      <c r="A808" s="18"/>
      <c r="B808" s="11"/>
      <c r="C808" s="11"/>
      <c r="D808" s="11"/>
      <c r="E808" s="11"/>
      <c r="F808" s="11"/>
      <c r="G808" s="11"/>
      <c r="H808" s="11"/>
      <c r="I808" s="11"/>
      <c r="J808" s="11"/>
      <c r="K808" s="11"/>
      <c r="L808" s="15"/>
      <c r="M808" s="15"/>
      <c r="N808" s="15"/>
      <c r="O808" s="15"/>
      <c r="P808" s="15"/>
      <c r="Q808" s="11"/>
      <c r="R808" s="11"/>
      <c r="S808" s="11"/>
      <c r="T808" s="11"/>
      <c r="U808" s="15"/>
      <c r="V808" s="11"/>
      <c r="W808" s="11"/>
      <c r="X808" s="11"/>
      <c r="Y808" s="11"/>
      <c r="Z808" s="11"/>
    </row>
    <row r="809">
      <c r="A809" s="18"/>
      <c r="B809" s="11"/>
      <c r="C809" s="11"/>
      <c r="D809" s="11"/>
      <c r="E809" s="11"/>
      <c r="F809" s="11"/>
      <c r="G809" s="11"/>
      <c r="H809" s="11"/>
      <c r="I809" s="11"/>
      <c r="J809" s="11"/>
      <c r="K809" s="11"/>
      <c r="L809" s="15"/>
      <c r="M809" s="15"/>
      <c r="N809" s="15"/>
      <c r="O809" s="15"/>
      <c r="P809" s="15"/>
      <c r="Q809" s="11"/>
      <c r="R809" s="11"/>
      <c r="S809" s="11"/>
      <c r="T809" s="11"/>
      <c r="U809" s="15"/>
      <c r="V809" s="11"/>
      <c r="W809" s="11"/>
      <c r="X809" s="11"/>
      <c r="Y809" s="11"/>
      <c r="Z809" s="11"/>
    </row>
    <row r="810">
      <c r="A810" s="18"/>
      <c r="B810" s="11"/>
      <c r="C810" s="11"/>
      <c r="D810" s="11"/>
      <c r="E810" s="11"/>
      <c r="F810" s="11"/>
      <c r="G810" s="11"/>
      <c r="H810" s="11"/>
      <c r="I810" s="11"/>
      <c r="J810" s="11"/>
      <c r="K810" s="11"/>
      <c r="L810" s="15"/>
      <c r="M810" s="15"/>
      <c r="N810" s="15"/>
      <c r="O810" s="15"/>
      <c r="P810" s="15"/>
      <c r="Q810" s="11"/>
      <c r="R810" s="11"/>
      <c r="S810" s="11"/>
      <c r="T810" s="11"/>
      <c r="U810" s="15"/>
      <c r="V810" s="11"/>
      <c r="W810" s="11"/>
      <c r="X810" s="11"/>
      <c r="Y810" s="11"/>
      <c r="Z810" s="11"/>
    </row>
    <row r="811">
      <c r="A811" s="18"/>
      <c r="B811" s="11"/>
      <c r="C811" s="11"/>
      <c r="D811" s="11"/>
      <c r="E811" s="11"/>
      <c r="F811" s="11"/>
      <c r="G811" s="11"/>
      <c r="H811" s="11"/>
      <c r="I811" s="11"/>
      <c r="J811" s="11"/>
      <c r="K811" s="11"/>
      <c r="L811" s="15"/>
      <c r="M811" s="15"/>
      <c r="N811" s="15"/>
      <c r="O811" s="15"/>
      <c r="P811" s="15"/>
      <c r="Q811" s="11"/>
      <c r="R811" s="11"/>
      <c r="S811" s="11"/>
      <c r="T811" s="11"/>
      <c r="U811" s="15"/>
      <c r="V811" s="11"/>
      <c r="W811" s="11"/>
      <c r="X811" s="11"/>
      <c r="Y811" s="11"/>
      <c r="Z811" s="11"/>
    </row>
    <row r="812">
      <c r="A812" s="18"/>
      <c r="B812" s="11"/>
      <c r="C812" s="11"/>
      <c r="D812" s="11"/>
      <c r="E812" s="11"/>
      <c r="F812" s="11"/>
      <c r="G812" s="11"/>
      <c r="H812" s="11"/>
      <c r="I812" s="11"/>
      <c r="J812" s="11"/>
      <c r="K812" s="11"/>
      <c r="L812" s="15"/>
      <c r="M812" s="15"/>
      <c r="N812" s="15"/>
      <c r="O812" s="15"/>
      <c r="P812" s="15"/>
      <c r="Q812" s="11"/>
      <c r="R812" s="11"/>
      <c r="S812" s="11"/>
      <c r="T812" s="11"/>
      <c r="U812" s="15"/>
      <c r="V812" s="11"/>
      <c r="W812" s="11"/>
      <c r="X812" s="11"/>
      <c r="Y812" s="11"/>
      <c r="Z812" s="11"/>
    </row>
    <row r="813">
      <c r="A813" s="18"/>
      <c r="B813" s="11"/>
      <c r="C813" s="11"/>
      <c r="D813" s="11"/>
      <c r="E813" s="11"/>
      <c r="F813" s="11"/>
      <c r="G813" s="11"/>
      <c r="H813" s="11"/>
      <c r="I813" s="11"/>
      <c r="J813" s="11"/>
      <c r="K813" s="11"/>
      <c r="L813" s="15"/>
      <c r="M813" s="15"/>
      <c r="N813" s="15"/>
      <c r="O813" s="15"/>
      <c r="P813" s="15"/>
      <c r="Q813" s="11"/>
      <c r="R813" s="11"/>
      <c r="S813" s="11"/>
      <c r="T813" s="11"/>
      <c r="U813" s="15"/>
      <c r="V813" s="11"/>
      <c r="W813" s="11"/>
      <c r="X813" s="11"/>
      <c r="Y813" s="11"/>
      <c r="Z813" s="11"/>
    </row>
    <row r="814">
      <c r="A814" s="18"/>
      <c r="B814" s="11"/>
      <c r="C814" s="11"/>
      <c r="D814" s="11"/>
      <c r="E814" s="11"/>
      <c r="F814" s="11"/>
      <c r="G814" s="11"/>
      <c r="H814" s="11"/>
      <c r="I814" s="11"/>
      <c r="J814" s="11"/>
      <c r="K814" s="11"/>
      <c r="L814" s="15"/>
      <c r="M814" s="15"/>
      <c r="N814" s="15"/>
      <c r="O814" s="15"/>
      <c r="P814" s="15"/>
      <c r="Q814" s="11"/>
      <c r="R814" s="11"/>
      <c r="S814" s="11"/>
      <c r="T814" s="11"/>
      <c r="U814" s="15"/>
      <c r="V814" s="11"/>
      <c r="W814" s="11"/>
      <c r="X814" s="11"/>
      <c r="Y814" s="11"/>
      <c r="Z814" s="11"/>
    </row>
    <row r="815">
      <c r="A815" s="18"/>
      <c r="B815" s="11"/>
      <c r="C815" s="11"/>
      <c r="D815" s="11"/>
      <c r="E815" s="11"/>
      <c r="F815" s="11"/>
      <c r="G815" s="11"/>
      <c r="H815" s="11"/>
      <c r="I815" s="11"/>
      <c r="J815" s="11"/>
      <c r="K815" s="11"/>
      <c r="L815" s="15"/>
      <c r="M815" s="15"/>
      <c r="N815" s="15"/>
      <c r="O815" s="15"/>
      <c r="P815" s="15"/>
      <c r="Q815" s="11"/>
      <c r="R815" s="11"/>
      <c r="S815" s="11"/>
      <c r="T815" s="11"/>
      <c r="U815" s="15"/>
      <c r="V815" s="11"/>
      <c r="W815" s="11"/>
      <c r="X815" s="11"/>
      <c r="Y815" s="11"/>
      <c r="Z815" s="11"/>
    </row>
    <row r="816">
      <c r="A816" s="18"/>
      <c r="B816" s="11"/>
      <c r="C816" s="11"/>
      <c r="D816" s="11"/>
      <c r="E816" s="11"/>
      <c r="F816" s="11"/>
      <c r="G816" s="11"/>
      <c r="H816" s="11"/>
      <c r="I816" s="11"/>
      <c r="J816" s="11"/>
      <c r="K816" s="11"/>
      <c r="L816" s="15"/>
      <c r="M816" s="15"/>
      <c r="N816" s="15"/>
      <c r="O816" s="15"/>
      <c r="P816" s="15"/>
      <c r="Q816" s="11"/>
      <c r="R816" s="11"/>
      <c r="S816" s="11"/>
      <c r="T816" s="11"/>
      <c r="U816" s="15"/>
      <c r="V816" s="11"/>
      <c r="W816" s="11"/>
      <c r="X816" s="11"/>
      <c r="Y816" s="11"/>
      <c r="Z816" s="11"/>
    </row>
    <row r="817">
      <c r="A817" s="18"/>
      <c r="B817" s="11"/>
      <c r="C817" s="11"/>
      <c r="D817" s="11"/>
      <c r="E817" s="11"/>
      <c r="F817" s="11"/>
      <c r="G817" s="11"/>
      <c r="H817" s="11"/>
      <c r="I817" s="11"/>
      <c r="J817" s="11"/>
      <c r="K817" s="11"/>
      <c r="L817" s="15"/>
      <c r="M817" s="15"/>
      <c r="N817" s="15"/>
      <c r="O817" s="15"/>
      <c r="P817" s="15"/>
      <c r="Q817" s="11"/>
      <c r="R817" s="11"/>
      <c r="S817" s="11"/>
      <c r="T817" s="11"/>
      <c r="U817" s="15"/>
      <c r="V817" s="11"/>
      <c r="W817" s="11"/>
      <c r="X817" s="11"/>
      <c r="Y817" s="11"/>
      <c r="Z817" s="11"/>
    </row>
    <row r="818">
      <c r="A818" s="18"/>
      <c r="B818" s="11"/>
      <c r="C818" s="11"/>
      <c r="D818" s="11"/>
      <c r="E818" s="11"/>
      <c r="F818" s="11"/>
      <c r="G818" s="11"/>
      <c r="H818" s="11"/>
      <c r="I818" s="11"/>
      <c r="J818" s="11"/>
      <c r="K818" s="11"/>
      <c r="L818" s="15"/>
      <c r="M818" s="15"/>
      <c r="N818" s="15"/>
      <c r="O818" s="15"/>
      <c r="P818" s="15"/>
      <c r="Q818" s="11"/>
      <c r="R818" s="11"/>
      <c r="S818" s="11"/>
      <c r="T818" s="11"/>
      <c r="U818" s="15"/>
      <c r="V818" s="11"/>
      <c r="W818" s="11"/>
      <c r="X818" s="11"/>
      <c r="Y818" s="11"/>
      <c r="Z818" s="11"/>
    </row>
    <row r="819">
      <c r="A819" s="18"/>
      <c r="B819" s="11"/>
      <c r="C819" s="11"/>
      <c r="D819" s="11"/>
      <c r="E819" s="11"/>
      <c r="F819" s="11"/>
      <c r="G819" s="11"/>
      <c r="H819" s="11"/>
      <c r="I819" s="11"/>
      <c r="J819" s="11"/>
      <c r="K819" s="11"/>
      <c r="L819" s="15"/>
      <c r="M819" s="15"/>
      <c r="N819" s="15"/>
      <c r="O819" s="15"/>
      <c r="P819" s="15"/>
      <c r="Q819" s="11"/>
      <c r="R819" s="11"/>
      <c r="S819" s="11"/>
      <c r="T819" s="11"/>
      <c r="U819" s="15"/>
      <c r="V819" s="11"/>
      <c r="W819" s="11"/>
      <c r="X819" s="11"/>
      <c r="Y819" s="11"/>
      <c r="Z819" s="11"/>
    </row>
    <row r="820">
      <c r="A820" s="18"/>
      <c r="B820" s="11"/>
      <c r="C820" s="11"/>
      <c r="D820" s="11"/>
      <c r="E820" s="11"/>
      <c r="F820" s="11"/>
      <c r="G820" s="11"/>
      <c r="H820" s="11"/>
      <c r="I820" s="11"/>
      <c r="J820" s="11"/>
      <c r="K820" s="11"/>
      <c r="L820" s="15"/>
      <c r="M820" s="15"/>
      <c r="N820" s="15"/>
      <c r="O820" s="15"/>
      <c r="P820" s="15"/>
      <c r="Q820" s="11"/>
      <c r="R820" s="11"/>
      <c r="S820" s="11"/>
      <c r="T820" s="11"/>
      <c r="U820" s="15"/>
      <c r="V820" s="11"/>
      <c r="W820" s="11"/>
      <c r="X820" s="11"/>
      <c r="Y820" s="11"/>
      <c r="Z820" s="11"/>
    </row>
    <row r="821">
      <c r="A821" s="18"/>
      <c r="B821" s="11"/>
      <c r="C821" s="11"/>
      <c r="D821" s="11"/>
      <c r="E821" s="11"/>
      <c r="F821" s="11"/>
      <c r="G821" s="11"/>
      <c r="H821" s="11"/>
      <c r="I821" s="11"/>
      <c r="J821" s="11"/>
      <c r="K821" s="11"/>
      <c r="L821" s="15"/>
      <c r="M821" s="15"/>
      <c r="N821" s="15"/>
      <c r="O821" s="15"/>
      <c r="P821" s="15"/>
      <c r="Q821" s="11"/>
      <c r="R821" s="11"/>
      <c r="S821" s="11"/>
      <c r="T821" s="11"/>
      <c r="U821" s="15"/>
      <c r="V821" s="11"/>
      <c r="W821" s="11"/>
      <c r="X821" s="11"/>
      <c r="Y821" s="11"/>
      <c r="Z821" s="11"/>
    </row>
    <row r="822">
      <c r="A822" s="18"/>
      <c r="B822" s="11"/>
      <c r="C822" s="11"/>
      <c r="D822" s="11"/>
      <c r="E822" s="11"/>
      <c r="F822" s="11"/>
      <c r="G822" s="11"/>
      <c r="H822" s="11"/>
      <c r="I822" s="11"/>
      <c r="J822" s="11"/>
      <c r="K822" s="11"/>
      <c r="L822" s="15"/>
      <c r="M822" s="15"/>
      <c r="N822" s="15"/>
      <c r="O822" s="15"/>
      <c r="P822" s="15"/>
      <c r="Q822" s="11"/>
      <c r="R822" s="11"/>
      <c r="S822" s="11"/>
      <c r="T822" s="11"/>
      <c r="U822" s="15"/>
      <c r="V822" s="11"/>
      <c r="W822" s="11"/>
      <c r="X822" s="11"/>
      <c r="Y822" s="11"/>
      <c r="Z822" s="11"/>
    </row>
    <row r="823">
      <c r="A823" s="18"/>
      <c r="B823" s="11"/>
      <c r="C823" s="11"/>
      <c r="D823" s="11"/>
      <c r="E823" s="11"/>
      <c r="F823" s="11"/>
      <c r="G823" s="11"/>
      <c r="H823" s="11"/>
      <c r="I823" s="11"/>
      <c r="J823" s="11"/>
      <c r="K823" s="11"/>
      <c r="L823" s="15"/>
      <c r="M823" s="15"/>
      <c r="N823" s="15"/>
      <c r="O823" s="15"/>
      <c r="P823" s="15"/>
      <c r="Q823" s="11"/>
      <c r="R823" s="11"/>
      <c r="S823" s="11"/>
      <c r="T823" s="11"/>
      <c r="U823" s="15"/>
      <c r="V823" s="11"/>
      <c r="W823" s="11"/>
      <c r="X823" s="11"/>
      <c r="Y823" s="11"/>
      <c r="Z823" s="11"/>
    </row>
    <row r="824">
      <c r="A824" s="18"/>
      <c r="B824" s="11"/>
      <c r="C824" s="11"/>
      <c r="D824" s="11"/>
      <c r="E824" s="11"/>
      <c r="F824" s="11"/>
      <c r="G824" s="11"/>
      <c r="H824" s="11"/>
      <c r="I824" s="11"/>
      <c r="J824" s="11"/>
      <c r="K824" s="11"/>
      <c r="L824" s="15"/>
      <c r="M824" s="15"/>
      <c r="N824" s="15"/>
      <c r="O824" s="15"/>
      <c r="P824" s="15"/>
      <c r="Q824" s="11"/>
      <c r="R824" s="11"/>
      <c r="S824" s="11"/>
      <c r="T824" s="11"/>
      <c r="U824" s="15"/>
      <c r="V824" s="11"/>
      <c r="W824" s="11"/>
      <c r="X824" s="11"/>
      <c r="Y824" s="11"/>
      <c r="Z824" s="11"/>
    </row>
    <row r="825">
      <c r="A825" s="18"/>
      <c r="B825" s="11"/>
      <c r="C825" s="11"/>
      <c r="D825" s="11"/>
      <c r="E825" s="11"/>
      <c r="F825" s="11"/>
      <c r="G825" s="11"/>
      <c r="H825" s="11"/>
      <c r="I825" s="11"/>
      <c r="J825" s="11"/>
      <c r="K825" s="11"/>
      <c r="L825" s="15"/>
      <c r="M825" s="15"/>
      <c r="N825" s="15"/>
      <c r="O825" s="15"/>
      <c r="P825" s="15"/>
      <c r="Q825" s="11"/>
      <c r="R825" s="11"/>
      <c r="S825" s="11"/>
      <c r="T825" s="11"/>
      <c r="U825" s="15"/>
      <c r="V825" s="11"/>
      <c r="W825" s="11"/>
      <c r="X825" s="11"/>
      <c r="Y825" s="11"/>
      <c r="Z825" s="11"/>
    </row>
    <row r="826">
      <c r="A826" s="18"/>
      <c r="B826" s="11"/>
      <c r="C826" s="11"/>
      <c r="D826" s="11"/>
      <c r="E826" s="11"/>
      <c r="F826" s="11"/>
      <c r="G826" s="11"/>
      <c r="H826" s="11"/>
      <c r="I826" s="11"/>
      <c r="J826" s="11"/>
      <c r="K826" s="11"/>
      <c r="L826" s="15"/>
      <c r="M826" s="15"/>
      <c r="N826" s="15"/>
      <c r="O826" s="15"/>
      <c r="P826" s="15"/>
      <c r="Q826" s="11"/>
      <c r="R826" s="11"/>
      <c r="S826" s="11"/>
      <c r="T826" s="11"/>
      <c r="U826" s="15"/>
      <c r="V826" s="11"/>
      <c r="W826" s="11"/>
      <c r="X826" s="11"/>
      <c r="Y826" s="11"/>
      <c r="Z826" s="11"/>
    </row>
    <row r="827">
      <c r="A827" s="18"/>
      <c r="B827" s="11"/>
      <c r="C827" s="11"/>
      <c r="D827" s="11"/>
      <c r="E827" s="11"/>
      <c r="F827" s="11"/>
      <c r="G827" s="11"/>
      <c r="H827" s="11"/>
      <c r="I827" s="11"/>
      <c r="J827" s="11"/>
      <c r="K827" s="11"/>
      <c r="L827" s="15"/>
      <c r="M827" s="15"/>
      <c r="N827" s="15"/>
      <c r="O827" s="15"/>
      <c r="P827" s="15"/>
      <c r="Q827" s="11"/>
      <c r="R827" s="11"/>
      <c r="S827" s="11"/>
      <c r="T827" s="11"/>
      <c r="U827" s="15"/>
      <c r="V827" s="11"/>
      <c r="W827" s="11"/>
      <c r="X827" s="11"/>
      <c r="Y827" s="11"/>
      <c r="Z827" s="11"/>
    </row>
    <row r="828">
      <c r="A828" s="18"/>
      <c r="B828" s="11"/>
      <c r="C828" s="11"/>
      <c r="D828" s="11"/>
      <c r="E828" s="11"/>
      <c r="F828" s="11"/>
      <c r="G828" s="11"/>
      <c r="H828" s="11"/>
      <c r="I828" s="11"/>
      <c r="J828" s="11"/>
      <c r="K828" s="11"/>
      <c r="L828" s="15"/>
      <c r="M828" s="15"/>
      <c r="N828" s="15"/>
      <c r="O828" s="15"/>
      <c r="P828" s="15"/>
      <c r="Q828" s="11"/>
      <c r="R828" s="11"/>
      <c r="S828" s="11"/>
      <c r="T828" s="11"/>
      <c r="U828" s="15"/>
      <c r="V828" s="11"/>
      <c r="W828" s="11"/>
      <c r="X828" s="11"/>
      <c r="Y828" s="11"/>
      <c r="Z828" s="11"/>
    </row>
    <row r="829">
      <c r="A829" s="18"/>
      <c r="B829" s="11"/>
      <c r="C829" s="11"/>
      <c r="D829" s="11"/>
      <c r="E829" s="11"/>
      <c r="F829" s="11"/>
      <c r="G829" s="11"/>
      <c r="H829" s="11"/>
      <c r="I829" s="11"/>
      <c r="J829" s="11"/>
      <c r="K829" s="11"/>
      <c r="L829" s="15"/>
      <c r="M829" s="15"/>
      <c r="N829" s="15"/>
      <c r="O829" s="15"/>
      <c r="P829" s="15"/>
      <c r="Q829" s="11"/>
      <c r="R829" s="11"/>
      <c r="S829" s="11"/>
      <c r="T829" s="11"/>
      <c r="U829" s="15"/>
      <c r="V829" s="11"/>
      <c r="W829" s="11"/>
      <c r="X829" s="11"/>
      <c r="Y829" s="11"/>
      <c r="Z829" s="11"/>
    </row>
    <row r="830">
      <c r="A830" s="18"/>
      <c r="B830" s="11"/>
      <c r="C830" s="11"/>
      <c r="D830" s="11"/>
      <c r="E830" s="11"/>
      <c r="F830" s="11"/>
      <c r="G830" s="11"/>
      <c r="H830" s="11"/>
      <c r="I830" s="11"/>
      <c r="J830" s="11"/>
      <c r="K830" s="11"/>
      <c r="L830" s="15"/>
      <c r="M830" s="15"/>
      <c r="N830" s="15"/>
      <c r="O830" s="15"/>
      <c r="P830" s="15"/>
      <c r="Q830" s="11"/>
      <c r="R830" s="11"/>
      <c r="S830" s="11"/>
      <c r="T830" s="11"/>
      <c r="U830" s="15"/>
      <c r="V830" s="11"/>
      <c r="W830" s="11"/>
      <c r="X830" s="11"/>
      <c r="Y830" s="11"/>
      <c r="Z830" s="11"/>
    </row>
    <row r="831">
      <c r="A831" s="18"/>
      <c r="B831" s="11"/>
      <c r="C831" s="11"/>
      <c r="D831" s="11"/>
      <c r="E831" s="11"/>
      <c r="F831" s="11"/>
      <c r="G831" s="11"/>
      <c r="H831" s="11"/>
      <c r="I831" s="11"/>
      <c r="J831" s="11"/>
      <c r="K831" s="11"/>
      <c r="L831" s="15"/>
      <c r="M831" s="15"/>
      <c r="N831" s="15"/>
      <c r="O831" s="15"/>
      <c r="P831" s="15"/>
      <c r="Q831" s="11"/>
      <c r="R831" s="11"/>
      <c r="S831" s="11"/>
      <c r="T831" s="11"/>
      <c r="U831" s="15"/>
      <c r="V831" s="11"/>
      <c r="W831" s="11"/>
      <c r="X831" s="11"/>
      <c r="Y831" s="11"/>
      <c r="Z831" s="11"/>
    </row>
    <row r="832">
      <c r="A832" s="18"/>
      <c r="B832" s="11"/>
      <c r="C832" s="11"/>
      <c r="D832" s="11"/>
      <c r="E832" s="11"/>
      <c r="F832" s="11"/>
      <c r="G832" s="11"/>
      <c r="H832" s="11"/>
      <c r="I832" s="11"/>
      <c r="J832" s="11"/>
      <c r="K832" s="11"/>
      <c r="L832" s="15"/>
      <c r="M832" s="15"/>
      <c r="N832" s="15"/>
      <c r="O832" s="15"/>
      <c r="P832" s="15"/>
      <c r="Q832" s="11"/>
      <c r="R832" s="11"/>
      <c r="S832" s="11"/>
      <c r="T832" s="11"/>
      <c r="U832" s="15"/>
      <c r="V832" s="11"/>
      <c r="W832" s="11"/>
      <c r="X832" s="11"/>
      <c r="Y832" s="11"/>
      <c r="Z832" s="11"/>
    </row>
    <row r="833">
      <c r="A833" s="18"/>
      <c r="B833" s="11"/>
      <c r="C833" s="11"/>
      <c r="D833" s="11"/>
      <c r="E833" s="11"/>
      <c r="F833" s="11"/>
      <c r="G833" s="11"/>
      <c r="H833" s="11"/>
      <c r="I833" s="11"/>
      <c r="J833" s="11"/>
      <c r="K833" s="11"/>
      <c r="L833" s="15"/>
      <c r="M833" s="15"/>
      <c r="N833" s="15"/>
      <c r="O833" s="15"/>
      <c r="P833" s="15"/>
      <c r="Q833" s="11"/>
      <c r="R833" s="11"/>
      <c r="S833" s="11"/>
      <c r="T833" s="11"/>
      <c r="U833" s="15"/>
      <c r="V833" s="11"/>
      <c r="W833" s="11"/>
      <c r="X833" s="11"/>
      <c r="Y833" s="11"/>
      <c r="Z833" s="11"/>
    </row>
    <row r="834">
      <c r="A834" s="18"/>
      <c r="B834" s="11"/>
      <c r="C834" s="11"/>
      <c r="D834" s="11"/>
      <c r="E834" s="11"/>
      <c r="F834" s="11"/>
      <c r="G834" s="11"/>
      <c r="H834" s="11"/>
      <c r="I834" s="11"/>
      <c r="J834" s="11"/>
      <c r="K834" s="11"/>
      <c r="L834" s="15"/>
      <c r="M834" s="15"/>
      <c r="N834" s="15"/>
      <c r="O834" s="15"/>
      <c r="P834" s="15"/>
      <c r="Q834" s="11"/>
      <c r="R834" s="11"/>
      <c r="S834" s="11"/>
      <c r="T834" s="11"/>
      <c r="U834" s="15"/>
      <c r="V834" s="11"/>
      <c r="W834" s="11"/>
      <c r="X834" s="11"/>
      <c r="Y834" s="11"/>
      <c r="Z834" s="11"/>
    </row>
    <row r="835">
      <c r="A835" s="18"/>
      <c r="B835" s="11"/>
      <c r="C835" s="11"/>
      <c r="D835" s="11"/>
      <c r="E835" s="11"/>
      <c r="F835" s="11"/>
      <c r="G835" s="11"/>
      <c r="H835" s="11"/>
      <c r="I835" s="11"/>
      <c r="J835" s="11"/>
      <c r="K835" s="11"/>
      <c r="L835" s="15"/>
      <c r="M835" s="15"/>
      <c r="N835" s="15"/>
      <c r="O835" s="15"/>
      <c r="P835" s="15"/>
      <c r="Q835" s="11"/>
      <c r="R835" s="11"/>
      <c r="S835" s="11"/>
      <c r="T835" s="11"/>
      <c r="U835" s="15"/>
      <c r="V835" s="11"/>
      <c r="W835" s="11"/>
      <c r="X835" s="11"/>
      <c r="Y835" s="11"/>
      <c r="Z835" s="11"/>
    </row>
    <row r="836">
      <c r="A836" s="18"/>
      <c r="B836" s="11"/>
      <c r="C836" s="11"/>
      <c r="D836" s="11"/>
      <c r="E836" s="11"/>
      <c r="F836" s="11"/>
      <c r="G836" s="11"/>
      <c r="H836" s="11"/>
      <c r="I836" s="11"/>
      <c r="J836" s="11"/>
      <c r="K836" s="11"/>
      <c r="L836" s="15"/>
      <c r="M836" s="15"/>
      <c r="N836" s="15"/>
      <c r="O836" s="15"/>
      <c r="P836" s="15"/>
      <c r="Q836" s="11"/>
      <c r="R836" s="11"/>
      <c r="S836" s="11"/>
      <c r="T836" s="11"/>
      <c r="U836" s="15"/>
      <c r="V836" s="11"/>
      <c r="W836" s="11"/>
      <c r="X836" s="11"/>
      <c r="Y836" s="11"/>
      <c r="Z836" s="11"/>
    </row>
    <row r="837">
      <c r="A837" s="18"/>
      <c r="B837" s="11"/>
      <c r="C837" s="11"/>
      <c r="D837" s="11"/>
      <c r="E837" s="11"/>
      <c r="F837" s="11"/>
      <c r="G837" s="11"/>
      <c r="H837" s="11"/>
      <c r="I837" s="11"/>
      <c r="J837" s="11"/>
      <c r="K837" s="11"/>
      <c r="L837" s="15"/>
      <c r="M837" s="15"/>
      <c r="N837" s="15"/>
      <c r="O837" s="15"/>
      <c r="P837" s="15"/>
      <c r="Q837" s="11"/>
      <c r="R837" s="11"/>
      <c r="S837" s="11"/>
      <c r="T837" s="11"/>
      <c r="U837" s="15"/>
      <c r="V837" s="11"/>
      <c r="W837" s="11"/>
      <c r="X837" s="11"/>
      <c r="Y837" s="11"/>
      <c r="Z837" s="11"/>
    </row>
    <row r="838">
      <c r="A838" s="18"/>
      <c r="B838" s="11"/>
      <c r="C838" s="11"/>
      <c r="D838" s="11"/>
      <c r="E838" s="11"/>
      <c r="F838" s="11"/>
      <c r="G838" s="11"/>
      <c r="H838" s="11"/>
      <c r="I838" s="11"/>
      <c r="J838" s="11"/>
      <c r="K838" s="11"/>
      <c r="L838" s="15"/>
      <c r="M838" s="15"/>
      <c r="N838" s="15"/>
      <c r="O838" s="15"/>
      <c r="P838" s="15"/>
      <c r="Q838" s="11"/>
      <c r="R838" s="11"/>
      <c r="S838" s="11"/>
      <c r="T838" s="11"/>
      <c r="U838" s="15"/>
      <c r="V838" s="11"/>
      <c r="W838" s="11"/>
      <c r="X838" s="11"/>
      <c r="Y838" s="11"/>
      <c r="Z838" s="11"/>
    </row>
    <row r="839">
      <c r="A839" s="18"/>
      <c r="B839" s="11"/>
      <c r="C839" s="11"/>
      <c r="D839" s="11"/>
      <c r="E839" s="11"/>
      <c r="F839" s="11"/>
      <c r="G839" s="11"/>
      <c r="H839" s="11"/>
      <c r="I839" s="11"/>
      <c r="J839" s="11"/>
      <c r="K839" s="11"/>
      <c r="L839" s="15"/>
      <c r="M839" s="15"/>
      <c r="N839" s="15"/>
      <c r="O839" s="15"/>
      <c r="P839" s="15"/>
      <c r="Q839" s="11"/>
      <c r="R839" s="11"/>
      <c r="S839" s="11"/>
      <c r="T839" s="11"/>
      <c r="U839" s="15"/>
      <c r="V839" s="11"/>
      <c r="W839" s="11"/>
      <c r="X839" s="11"/>
      <c r="Y839" s="11"/>
      <c r="Z839" s="11"/>
    </row>
    <row r="840">
      <c r="A840" s="18"/>
      <c r="B840" s="11"/>
      <c r="C840" s="11"/>
      <c r="D840" s="11"/>
      <c r="E840" s="11"/>
      <c r="F840" s="11"/>
      <c r="G840" s="11"/>
      <c r="H840" s="11"/>
      <c r="I840" s="11"/>
      <c r="J840" s="11"/>
      <c r="K840" s="11"/>
      <c r="L840" s="15"/>
      <c r="M840" s="15"/>
      <c r="N840" s="15"/>
      <c r="O840" s="15"/>
      <c r="P840" s="15"/>
      <c r="Q840" s="11"/>
      <c r="R840" s="11"/>
      <c r="S840" s="11"/>
      <c r="T840" s="11"/>
      <c r="U840" s="15"/>
      <c r="V840" s="11"/>
      <c r="W840" s="11"/>
      <c r="X840" s="11"/>
      <c r="Y840" s="11"/>
      <c r="Z840" s="11"/>
    </row>
    <row r="841">
      <c r="A841" s="18"/>
      <c r="B841" s="11"/>
      <c r="C841" s="11"/>
      <c r="D841" s="11"/>
      <c r="E841" s="11"/>
      <c r="F841" s="11"/>
      <c r="G841" s="11"/>
      <c r="H841" s="11"/>
      <c r="I841" s="11"/>
      <c r="J841" s="11"/>
      <c r="K841" s="11"/>
      <c r="L841" s="15"/>
      <c r="M841" s="15"/>
      <c r="N841" s="15"/>
      <c r="O841" s="15"/>
      <c r="P841" s="15"/>
      <c r="Q841" s="11"/>
      <c r="R841" s="11"/>
      <c r="S841" s="11"/>
      <c r="T841" s="11"/>
      <c r="U841" s="15"/>
      <c r="V841" s="11"/>
      <c r="W841" s="11"/>
      <c r="X841" s="11"/>
      <c r="Y841" s="11"/>
      <c r="Z841" s="11"/>
    </row>
    <row r="842">
      <c r="A842" s="18"/>
      <c r="B842" s="11"/>
      <c r="C842" s="11"/>
      <c r="D842" s="11"/>
      <c r="E842" s="11"/>
      <c r="F842" s="11"/>
      <c r="G842" s="11"/>
      <c r="H842" s="11"/>
      <c r="I842" s="11"/>
      <c r="J842" s="11"/>
      <c r="K842" s="11"/>
      <c r="L842" s="15"/>
      <c r="M842" s="15"/>
      <c r="N842" s="15"/>
      <c r="O842" s="15"/>
      <c r="P842" s="15"/>
      <c r="Q842" s="11"/>
      <c r="R842" s="11"/>
      <c r="S842" s="11"/>
      <c r="T842" s="11"/>
      <c r="U842" s="15"/>
      <c r="V842" s="11"/>
      <c r="W842" s="11"/>
      <c r="X842" s="11"/>
      <c r="Y842" s="11"/>
      <c r="Z842" s="11"/>
    </row>
    <row r="843">
      <c r="A843" s="18"/>
      <c r="B843" s="11"/>
      <c r="C843" s="11"/>
      <c r="D843" s="11"/>
      <c r="E843" s="11"/>
      <c r="F843" s="11"/>
      <c r="G843" s="11"/>
      <c r="H843" s="11"/>
      <c r="I843" s="11"/>
      <c r="J843" s="11"/>
      <c r="K843" s="11"/>
      <c r="L843" s="15"/>
      <c r="M843" s="15"/>
      <c r="N843" s="15"/>
      <c r="O843" s="15"/>
      <c r="P843" s="15"/>
      <c r="Q843" s="11"/>
      <c r="R843" s="11"/>
      <c r="S843" s="11"/>
      <c r="T843" s="11"/>
      <c r="U843" s="15"/>
      <c r="V843" s="11"/>
      <c r="W843" s="11"/>
      <c r="X843" s="11"/>
      <c r="Y843" s="11"/>
      <c r="Z843" s="11"/>
    </row>
    <row r="844">
      <c r="A844" s="18"/>
      <c r="B844" s="11"/>
      <c r="C844" s="11"/>
      <c r="D844" s="11"/>
      <c r="E844" s="11"/>
      <c r="F844" s="11"/>
      <c r="G844" s="11"/>
      <c r="H844" s="11"/>
      <c r="I844" s="11"/>
      <c r="J844" s="11"/>
      <c r="K844" s="11"/>
      <c r="L844" s="15"/>
      <c r="M844" s="15"/>
      <c r="N844" s="15"/>
      <c r="O844" s="15"/>
      <c r="P844" s="15"/>
      <c r="Q844" s="11"/>
      <c r="R844" s="11"/>
      <c r="S844" s="11"/>
      <c r="T844" s="11"/>
      <c r="U844" s="15"/>
      <c r="V844" s="11"/>
      <c r="W844" s="11"/>
      <c r="X844" s="11"/>
      <c r="Y844" s="11"/>
      <c r="Z844" s="11"/>
    </row>
    <row r="845">
      <c r="A845" s="18"/>
      <c r="B845" s="11"/>
      <c r="C845" s="11"/>
      <c r="D845" s="11"/>
      <c r="E845" s="11"/>
      <c r="F845" s="11"/>
      <c r="G845" s="11"/>
      <c r="H845" s="11"/>
      <c r="I845" s="11"/>
      <c r="J845" s="11"/>
      <c r="K845" s="11"/>
      <c r="L845" s="15"/>
      <c r="M845" s="15"/>
      <c r="N845" s="15"/>
      <c r="O845" s="15"/>
      <c r="P845" s="15"/>
      <c r="Q845" s="11"/>
      <c r="R845" s="11"/>
      <c r="S845" s="11"/>
      <c r="T845" s="11"/>
      <c r="U845" s="15"/>
      <c r="V845" s="11"/>
      <c r="W845" s="11"/>
      <c r="X845" s="11"/>
      <c r="Y845" s="11"/>
      <c r="Z845" s="11"/>
    </row>
    <row r="846">
      <c r="A846" s="18"/>
      <c r="B846" s="11"/>
      <c r="C846" s="11"/>
      <c r="D846" s="11"/>
      <c r="E846" s="11"/>
      <c r="F846" s="11"/>
      <c r="G846" s="11"/>
      <c r="H846" s="11"/>
      <c r="I846" s="11"/>
      <c r="J846" s="11"/>
      <c r="K846" s="11"/>
      <c r="L846" s="15"/>
      <c r="M846" s="15"/>
      <c r="N846" s="15"/>
      <c r="O846" s="15"/>
      <c r="P846" s="15"/>
      <c r="Q846" s="11"/>
      <c r="R846" s="11"/>
      <c r="S846" s="11"/>
      <c r="T846" s="11"/>
      <c r="U846" s="15"/>
      <c r="V846" s="11"/>
      <c r="W846" s="11"/>
      <c r="X846" s="11"/>
      <c r="Y846" s="11"/>
      <c r="Z846" s="11"/>
    </row>
    <row r="847">
      <c r="A847" s="18"/>
      <c r="B847" s="11"/>
      <c r="C847" s="11"/>
      <c r="D847" s="11"/>
      <c r="E847" s="11"/>
      <c r="F847" s="11"/>
      <c r="G847" s="11"/>
      <c r="H847" s="11"/>
      <c r="I847" s="11"/>
      <c r="J847" s="11"/>
      <c r="K847" s="11"/>
      <c r="L847" s="15"/>
      <c r="M847" s="15"/>
      <c r="N847" s="15"/>
      <c r="O847" s="15"/>
      <c r="P847" s="15"/>
      <c r="Q847" s="11"/>
      <c r="R847" s="11"/>
      <c r="S847" s="11"/>
      <c r="T847" s="11"/>
      <c r="U847" s="15"/>
      <c r="V847" s="11"/>
      <c r="W847" s="11"/>
      <c r="X847" s="11"/>
      <c r="Y847" s="11"/>
      <c r="Z847" s="11"/>
    </row>
    <row r="848">
      <c r="A848" s="18"/>
      <c r="B848" s="11"/>
      <c r="C848" s="11"/>
      <c r="D848" s="11"/>
      <c r="E848" s="11"/>
      <c r="F848" s="11"/>
      <c r="G848" s="11"/>
      <c r="H848" s="11"/>
      <c r="I848" s="11"/>
      <c r="J848" s="11"/>
      <c r="K848" s="11"/>
      <c r="L848" s="15"/>
      <c r="M848" s="15"/>
      <c r="N848" s="15"/>
      <c r="O848" s="15"/>
      <c r="P848" s="15"/>
      <c r="Q848" s="11"/>
      <c r="R848" s="11"/>
      <c r="S848" s="11"/>
      <c r="T848" s="11"/>
      <c r="U848" s="15"/>
      <c r="V848" s="11"/>
      <c r="W848" s="11"/>
      <c r="X848" s="11"/>
      <c r="Y848" s="11"/>
      <c r="Z848" s="11"/>
    </row>
    <row r="849">
      <c r="A849" s="18"/>
      <c r="B849" s="11"/>
      <c r="C849" s="11"/>
      <c r="D849" s="11"/>
      <c r="E849" s="11"/>
      <c r="F849" s="11"/>
      <c r="G849" s="11"/>
      <c r="H849" s="11"/>
      <c r="I849" s="11"/>
      <c r="J849" s="11"/>
      <c r="K849" s="11"/>
      <c r="L849" s="15"/>
      <c r="M849" s="15"/>
      <c r="N849" s="15"/>
      <c r="O849" s="15"/>
      <c r="P849" s="15"/>
      <c r="Q849" s="11"/>
      <c r="R849" s="11"/>
      <c r="S849" s="11"/>
      <c r="T849" s="11"/>
      <c r="U849" s="15"/>
      <c r="V849" s="11"/>
      <c r="W849" s="11"/>
      <c r="X849" s="11"/>
      <c r="Y849" s="11"/>
      <c r="Z849" s="11"/>
    </row>
    <row r="850">
      <c r="A850" s="18"/>
      <c r="B850" s="11"/>
      <c r="C850" s="11"/>
      <c r="D850" s="11"/>
      <c r="E850" s="11"/>
      <c r="F850" s="11"/>
      <c r="G850" s="11"/>
      <c r="H850" s="11"/>
      <c r="I850" s="11"/>
      <c r="J850" s="11"/>
      <c r="K850" s="11"/>
      <c r="L850" s="15"/>
      <c r="M850" s="15"/>
      <c r="N850" s="15"/>
      <c r="O850" s="15"/>
      <c r="P850" s="15"/>
      <c r="Q850" s="11"/>
      <c r="R850" s="11"/>
      <c r="S850" s="11"/>
      <c r="T850" s="11"/>
      <c r="U850" s="15"/>
      <c r="V850" s="11"/>
      <c r="W850" s="11"/>
      <c r="X850" s="11"/>
      <c r="Y850" s="11"/>
      <c r="Z850" s="11"/>
    </row>
    <row r="851">
      <c r="A851" s="18"/>
      <c r="B851" s="11"/>
      <c r="C851" s="11"/>
      <c r="D851" s="11"/>
      <c r="E851" s="11"/>
      <c r="F851" s="11"/>
      <c r="G851" s="11"/>
      <c r="H851" s="11"/>
      <c r="I851" s="11"/>
      <c r="J851" s="11"/>
      <c r="K851" s="11"/>
      <c r="L851" s="15"/>
      <c r="M851" s="15"/>
      <c r="N851" s="15"/>
      <c r="O851" s="15"/>
      <c r="P851" s="15"/>
      <c r="Q851" s="11"/>
      <c r="R851" s="11"/>
      <c r="S851" s="11"/>
      <c r="T851" s="11"/>
      <c r="U851" s="15"/>
      <c r="V851" s="11"/>
      <c r="W851" s="11"/>
      <c r="X851" s="11"/>
      <c r="Y851" s="11"/>
      <c r="Z851" s="11"/>
    </row>
    <row r="852">
      <c r="A852" s="18"/>
      <c r="B852" s="11"/>
      <c r="C852" s="11"/>
      <c r="D852" s="11"/>
      <c r="E852" s="11"/>
      <c r="F852" s="11"/>
      <c r="G852" s="11"/>
      <c r="H852" s="11"/>
      <c r="I852" s="11"/>
      <c r="J852" s="11"/>
      <c r="K852" s="11"/>
      <c r="L852" s="15"/>
      <c r="M852" s="15"/>
      <c r="N852" s="15"/>
      <c r="O852" s="15"/>
      <c r="P852" s="15"/>
      <c r="Q852" s="11"/>
      <c r="R852" s="11"/>
      <c r="S852" s="11"/>
      <c r="T852" s="11"/>
      <c r="U852" s="15"/>
      <c r="V852" s="11"/>
      <c r="W852" s="11"/>
      <c r="X852" s="11"/>
      <c r="Y852" s="11"/>
      <c r="Z852" s="11"/>
    </row>
    <row r="853">
      <c r="A853" s="18"/>
      <c r="B853" s="11"/>
      <c r="C853" s="11"/>
      <c r="D853" s="11"/>
      <c r="E853" s="11"/>
      <c r="F853" s="11"/>
      <c r="G853" s="11"/>
      <c r="H853" s="11"/>
      <c r="I853" s="11"/>
      <c r="J853" s="11"/>
      <c r="K853" s="11"/>
      <c r="L853" s="15"/>
      <c r="M853" s="15"/>
      <c r="N853" s="15"/>
      <c r="O853" s="15"/>
      <c r="P853" s="15"/>
      <c r="Q853" s="11"/>
      <c r="R853" s="11"/>
      <c r="S853" s="11"/>
      <c r="T853" s="11"/>
      <c r="U853" s="15"/>
      <c r="V853" s="11"/>
      <c r="W853" s="11"/>
      <c r="X853" s="11"/>
      <c r="Y853" s="11"/>
      <c r="Z853" s="11"/>
    </row>
    <row r="854">
      <c r="A854" s="18"/>
      <c r="B854" s="11"/>
      <c r="C854" s="11"/>
      <c r="D854" s="11"/>
      <c r="E854" s="11"/>
      <c r="F854" s="11"/>
      <c r="G854" s="11"/>
      <c r="H854" s="11"/>
      <c r="I854" s="11"/>
      <c r="J854" s="11"/>
      <c r="K854" s="11"/>
      <c r="L854" s="15"/>
      <c r="M854" s="15"/>
      <c r="N854" s="15"/>
      <c r="O854" s="15"/>
      <c r="P854" s="15"/>
      <c r="Q854" s="11"/>
      <c r="R854" s="11"/>
      <c r="S854" s="11"/>
      <c r="T854" s="11"/>
      <c r="U854" s="15"/>
      <c r="V854" s="11"/>
      <c r="W854" s="11"/>
      <c r="X854" s="11"/>
      <c r="Y854" s="11"/>
      <c r="Z854" s="11"/>
    </row>
    <row r="855">
      <c r="A855" s="18"/>
      <c r="B855" s="11"/>
      <c r="C855" s="11"/>
      <c r="D855" s="11"/>
      <c r="E855" s="11"/>
      <c r="F855" s="11"/>
      <c r="G855" s="11"/>
      <c r="H855" s="11"/>
      <c r="I855" s="11"/>
      <c r="J855" s="11"/>
      <c r="K855" s="11"/>
      <c r="L855" s="15"/>
      <c r="M855" s="15"/>
      <c r="N855" s="15"/>
      <c r="O855" s="15"/>
      <c r="P855" s="15"/>
      <c r="Q855" s="11"/>
      <c r="R855" s="11"/>
      <c r="S855" s="11"/>
      <c r="T855" s="11"/>
      <c r="U855" s="15"/>
      <c r="V855" s="11"/>
      <c r="W855" s="11"/>
      <c r="X855" s="11"/>
      <c r="Y855" s="11"/>
      <c r="Z855" s="11"/>
    </row>
    <row r="856">
      <c r="A856" s="18"/>
      <c r="B856" s="11"/>
      <c r="C856" s="11"/>
      <c r="D856" s="11"/>
      <c r="E856" s="11"/>
      <c r="F856" s="11"/>
      <c r="G856" s="11"/>
      <c r="H856" s="11"/>
      <c r="I856" s="11"/>
      <c r="J856" s="11"/>
      <c r="K856" s="11"/>
      <c r="L856" s="15"/>
      <c r="M856" s="15"/>
      <c r="N856" s="15"/>
      <c r="O856" s="15"/>
      <c r="P856" s="15"/>
      <c r="Q856" s="11"/>
      <c r="R856" s="11"/>
      <c r="S856" s="11"/>
      <c r="T856" s="11"/>
      <c r="U856" s="15"/>
      <c r="V856" s="11"/>
      <c r="W856" s="11"/>
      <c r="X856" s="11"/>
      <c r="Y856" s="11"/>
      <c r="Z856" s="11"/>
    </row>
    <row r="857">
      <c r="A857" s="18"/>
      <c r="B857" s="11"/>
      <c r="C857" s="11"/>
      <c r="D857" s="11"/>
      <c r="E857" s="11"/>
      <c r="F857" s="11"/>
      <c r="G857" s="11"/>
      <c r="H857" s="11"/>
      <c r="I857" s="11"/>
      <c r="J857" s="11"/>
      <c r="K857" s="11"/>
      <c r="L857" s="15"/>
      <c r="M857" s="15"/>
      <c r="N857" s="15"/>
      <c r="O857" s="15"/>
      <c r="P857" s="15"/>
      <c r="Q857" s="11"/>
      <c r="R857" s="11"/>
      <c r="S857" s="11"/>
      <c r="T857" s="11"/>
      <c r="U857" s="15"/>
      <c r="V857" s="11"/>
      <c r="W857" s="11"/>
      <c r="X857" s="11"/>
      <c r="Y857" s="11"/>
      <c r="Z857" s="11"/>
    </row>
    <row r="858">
      <c r="A858" s="18"/>
      <c r="B858" s="11"/>
      <c r="C858" s="11"/>
      <c r="D858" s="11"/>
      <c r="E858" s="11"/>
      <c r="F858" s="11"/>
      <c r="G858" s="11"/>
      <c r="H858" s="11"/>
      <c r="I858" s="11"/>
      <c r="J858" s="11"/>
      <c r="K858" s="11"/>
      <c r="L858" s="15"/>
      <c r="M858" s="15"/>
      <c r="N858" s="15"/>
      <c r="O858" s="15"/>
      <c r="P858" s="15"/>
      <c r="Q858" s="11"/>
      <c r="R858" s="11"/>
      <c r="S858" s="11"/>
      <c r="T858" s="11"/>
      <c r="U858" s="15"/>
      <c r="V858" s="11"/>
      <c r="W858" s="11"/>
      <c r="X858" s="11"/>
      <c r="Y858" s="11"/>
      <c r="Z858" s="11"/>
    </row>
    <row r="859">
      <c r="A859" s="18"/>
      <c r="B859" s="11"/>
      <c r="C859" s="11"/>
      <c r="D859" s="11"/>
      <c r="E859" s="11"/>
      <c r="F859" s="11"/>
      <c r="G859" s="11"/>
      <c r="H859" s="11"/>
      <c r="I859" s="11"/>
      <c r="J859" s="11"/>
      <c r="K859" s="11"/>
      <c r="L859" s="15"/>
      <c r="M859" s="15"/>
      <c r="N859" s="15"/>
      <c r="O859" s="15"/>
      <c r="P859" s="15"/>
      <c r="Q859" s="11"/>
      <c r="R859" s="11"/>
      <c r="S859" s="11"/>
      <c r="T859" s="11"/>
      <c r="U859" s="15"/>
      <c r="V859" s="11"/>
      <c r="W859" s="11"/>
      <c r="X859" s="11"/>
      <c r="Y859" s="11"/>
      <c r="Z859" s="11"/>
    </row>
    <row r="860">
      <c r="A860" s="18"/>
      <c r="B860" s="11"/>
      <c r="C860" s="11"/>
      <c r="D860" s="11"/>
      <c r="E860" s="11"/>
      <c r="F860" s="11"/>
      <c r="G860" s="11"/>
      <c r="H860" s="11"/>
      <c r="I860" s="11"/>
      <c r="J860" s="11"/>
      <c r="K860" s="11"/>
      <c r="L860" s="15"/>
      <c r="M860" s="15"/>
      <c r="N860" s="15"/>
      <c r="O860" s="15"/>
      <c r="P860" s="15"/>
      <c r="Q860" s="11"/>
      <c r="R860" s="11"/>
      <c r="S860" s="11"/>
      <c r="T860" s="11"/>
      <c r="U860" s="15"/>
      <c r="V860" s="11"/>
      <c r="W860" s="11"/>
      <c r="X860" s="11"/>
      <c r="Y860" s="11"/>
      <c r="Z860" s="11"/>
    </row>
    <row r="861">
      <c r="A861" s="18"/>
      <c r="B861" s="11"/>
      <c r="C861" s="11"/>
      <c r="D861" s="11"/>
      <c r="E861" s="11"/>
      <c r="F861" s="11"/>
      <c r="G861" s="11"/>
      <c r="H861" s="11"/>
      <c r="I861" s="11"/>
      <c r="J861" s="11"/>
      <c r="K861" s="11"/>
      <c r="L861" s="15"/>
      <c r="M861" s="15"/>
      <c r="N861" s="15"/>
      <c r="O861" s="15"/>
      <c r="P861" s="15"/>
      <c r="Q861" s="11"/>
      <c r="R861" s="11"/>
      <c r="S861" s="11"/>
      <c r="T861" s="11"/>
      <c r="U861" s="15"/>
      <c r="V861" s="11"/>
      <c r="W861" s="11"/>
      <c r="X861" s="11"/>
      <c r="Y861" s="11"/>
      <c r="Z861" s="11"/>
    </row>
    <row r="862">
      <c r="A862" s="18"/>
      <c r="B862" s="11"/>
      <c r="C862" s="11"/>
      <c r="D862" s="11"/>
      <c r="E862" s="11"/>
      <c r="F862" s="11"/>
      <c r="G862" s="11"/>
      <c r="H862" s="11"/>
      <c r="I862" s="11"/>
      <c r="J862" s="11"/>
      <c r="K862" s="11"/>
      <c r="L862" s="15"/>
      <c r="M862" s="15"/>
      <c r="N862" s="15"/>
      <c r="O862" s="15"/>
      <c r="P862" s="15"/>
      <c r="Q862" s="11"/>
      <c r="R862" s="11"/>
      <c r="S862" s="11"/>
      <c r="T862" s="11"/>
      <c r="U862" s="15"/>
      <c r="V862" s="11"/>
      <c r="W862" s="11"/>
      <c r="X862" s="11"/>
      <c r="Y862" s="11"/>
      <c r="Z862" s="11"/>
    </row>
    <row r="863">
      <c r="A863" s="18"/>
      <c r="B863" s="11"/>
      <c r="C863" s="11"/>
      <c r="D863" s="11"/>
      <c r="E863" s="11"/>
      <c r="F863" s="11"/>
      <c r="G863" s="11"/>
      <c r="H863" s="11"/>
      <c r="I863" s="11"/>
      <c r="J863" s="11"/>
      <c r="K863" s="11"/>
      <c r="L863" s="15"/>
      <c r="M863" s="15"/>
      <c r="N863" s="15"/>
      <c r="O863" s="15"/>
      <c r="P863" s="15"/>
      <c r="Q863" s="11"/>
      <c r="R863" s="11"/>
      <c r="S863" s="11"/>
      <c r="T863" s="11"/>
      <c r="U863" s="15"/>
      <c r="V863" s="11"/>
      <c r="W863" s="11"/>
      <c r="X863" s="11"/>
      <c r="Y863" s="11"/>
      <c r="Z863" s="11"/>
    </row>
    <row r="864">
      <c r="A864" s="18"/>
      <c r="B864" s="11"/>
      <c r="C864" s="11"/>
      <c r="D864" s="11"/>
      <c r="E864" s="11"/>
      <c r="F864" s="11"/>
      <c r="G864" s="11"/>
      <c r="H864" s="11"/>
      <c r="I864" s="11"/>
      <c r="J864" s="11"/>
      <c r="K864" s="11"/>
      <c r="L864" s="15"/>
      <c r="M864" s="15"/>
      <c r="N864" s="15"/>
      <c r="O864" s="15"/>
      <c r="P864" s="15"/>
      <c r="Q864" s="11"/>
      <c r="R864" s="11"/>
      <c r="S864" s="11"/>
      <c r="T864" s="11"/>
      <c r="U864" s="15"/>
      <c r="V864" s="11"/>
      <c r="W864" s="11"/>
      <c r="X864" s="11"/>
      <c r="Y864" s="11"/>
      <c r="Z864" s="11"/>
    </row>
    <row r="865">
      <c r="A865" s="18"/>
      <c r="B865" s="11"/>
      <c r="C865" s="11"/>
      <c r="D865" s="11"/>
      <c r="E865" s="11"/>
      <c r="F865" s="11"/>
      <c r="G865" s="11"/>
      <c r="H865" s="11"/>
      <c r="I865" s="11"/>
      <c r="J865" s="11"/>
      <c r="K865" s="11"/>
      <c r="L865" s="15"/>
      <c r="M865" s="15"/>
      <c r="N865" s="15"/>
      <c r="O865" s="15"/>
      <c r="P865" s="15"/>
      <c r="Q865" s="11"/>
      <c r="R865" s="11"/>
      <c r="S865" s="11"/>
      <c r="T865" s="11"/>
      <c r="U865" s="15"/>
      <c r="V865" s="11"/>
      <c r="W865" s="11"/>
      <c r="X865" s="11"/>
      <c r="Y865" s="11"/>
      <c r="Z865" s="11"/>
    </row>
    <row r="866">
      <c r="A866" s="18"/>
      <c r="B866" s="11"/>
      <c r="C866" s="11"/>
      <c r="D866" s="11"/>
      <c r="E866" s="11"/>
      <c r="F866" s="11"/>
      <c r="G866" s="11"/>
      <c r="H866" s="11"/>
      <c r="I866" s="11"/>
      <c r="J866" s="11"/>
      <c r="K866" s="11"/>
      <c r="L866" s="15"/>
      <c r="M866" s="15"/>
      <c r="N866" s="15"/>
      <c r="O866" s="15"/>
      <c r="P866" s="15"/>
      <c r="Q866" s="11"/>
      <c r="R866" s="11"/>
      <c r="S866" s="11"/>
      <c r="T866" s="11"/>
      <c r="U866" s="15"/>
      <c r="V866" s="11"/>
      <c r="W866" s="11"/>
      <c r="X866" s="11"/>
      <c r="Y866" s="11"/>
      <c r="Z866" s="11"/>
    </row>
    <row r="867">
      <c r="A867" s="18"/>
      <c r="B867" s="11"/>
      <c r="C867" s="11"/>
      <c r="D867" s="11"/>
      <c r="E867" s="11"/>
      <c r="F867" s="11"/>
      <c r="G867" s="11"/>
      <c r="H867" s="11"/>
      <c r="I867" s="11"/>
      <c r="J867" s="11"/>
      <c r="K867" s="11"/>
      <c r="L867" s="15"/>
      <c r="M867" s="15"/>
      <c r="N867" s="15"/>
      <c r="O867" s="15"/>
      <c r="P867" s="15"/>
      <c r="Q867" s="11"/>
      <c r="R867" s="11"/>
      <c r="S867" s="11"/>
      <c r="T867" s="11"/>
      <c r="U867" s="15"/>
      <c r="V867" s="11"/>
      <c r="W867" s="11"/>
      <c r="X867" s="11"/>
      <c r="Y867" s="11"/>
      <c r="Z867" s="11"/>
    </row>
    <row r="868">
      <c r="A868" s="18"/>
      <c r="B868" s="11"/>
      <c r="C868" s="11"/>
      <c r="D868" s="11"/>
      <c r="E868" s="11"/>
      <c r="F868" s="11"/>
      <c r="G868" s="11"/>
      <c r="H868" s="11"/>
      <c r="I868" s="11"/>
      <c r="J868" s="11"/>
      <c r="K868" s="11"/>
      <c r="L868" s="15"/>
      <c r="M868" s="15"/>
      <c r="N868" s="15"/>
      <c r="O868" s="15"/>
      <c r="P868" s="15"/>
      <c r="Q868" s="11"/>
      <c r="R868" s="11"/>
      <c r="S868" s="11"/>
      <c r="T868" s="11"/>
      <c r="U868" s="15"/>
      <c r="V868" s="11"/>
      <c r="W868" s="11"/>
      <c r="X868" s="11"/>
      <c r="Y868" s="11"/>
      <c r="Z868" s="11"/>
    </row>
    <row r="869">
      <c r="A869" s="18"/>
      <c r="B869" s="11"/>
      <c r="C869" s="11"/>
      <c r="D869" s="11"/>
      <c r="E869" s="11"/>
      <c r="F869" s="11"/>
      <c r="G869" s="11"/>
      <c r="H869" s="11"/>
      <c r="I869" s="11"/>
      <c r="J869" s="11"/>
      <c r="K869" s="11"/>
      <c r="L869" s="15"/>
      <c r="M869" s="15"/>
      <c r="N869" s="15"/>
      <c r="O869" s="15"/>
      <c r="P869" s="15"/>
      <c r="Q869" s="11"/>
      <c r="R869" s="11"/>
      <c r="S869" s="11"/>
      <c r="T869" s="11"/>
      <c r="U869" s="15"/>
      <c r="V869" s="11"/>
      <c r="W869" s="11"/>
      <c r="X869" s="11"/>
      <c r="Y869" s="11"/>
      <c r="Z869" s="11"/>
    </row>
    <row r="870">
      <c r="A870" s="18"/>
      <c r="B870" s="11"/>
      <c r="C870" s="11"/>
      <c r="D870" s="11"/>
      <c r="E870" s="11"/>
      <c r="F870" s="11"/>
      <c r="G870" s="11"/>
      <c r="H870" s="11"/>
      <c r="I870" s="11"/>
      <c r="J870" s="11"/>
      <c r="K870" s="11"/>
      <c r="L870" s="15"/>
      <c r="M870" s="15"/>
      <c r="N870" s="15"/>
      <c r="O870" s="15"/>
      <c r="P870" s="15"/>
      <c r="Q870" s="11"/>
      <c r="R870" s="11"/>
      <c r="S870" s="11"/>
      <c r="T870" s="11"/>
      <c r="U870" s="15"/>
      <c r="V870" s="11"/>
      <c r="W870" s="11"/>
      <c r="X870" s="11"/>
      <c r="Y870" s="11"/>
      <c r="Z870" s="11"/>
    </row>
    <row r="871">
      <c r="A871" s="18"/>
      <c r="B871" s="11"/>
      <c r="C871" s="11"/>
      <c r="D871" s="11"/>
      <c r="E871" s="11"/>
      <c r="F871" s="11"/>
      <c r="G871" s="11"/>
      <c r="H871" s="11"/>
      <c r="I871" s="11"/>
      <c r="J871" s="11"/>
      <c r="K871" s="11"/>
      <c r="L871" s="15"/>
      <c r="M871" s="15"/>
      <c r="N871" s="15"/>
      <c r="O871" s="15"/>
      <c r="P871" s="15"/>
      <c r="Q871" s="11"/>
      <c r="R871" s="11"/>
      <c r="S871" s="11"/>
      <c r="T871" s="11"/>
      <c r="U871" s="15"/>
      <c r="V871" s="11"/>
      <c r="W871" s="11"/>
      <c r="X871" s="11"/>
      <c r="Y871" s="11"/>
      <c r="Z871" s="11"/>
    </row>
    <row r="872">
      <c r="A872" s="18"/>
      <c r="B872" s="11"/>
      <c r="C872" s="11"/>
      <c r="D872" s="11"/>
      <c r="E872" s="11"/>
      <c r="F872" s="11"/>
      <c r="G872" s="11"/>
      <c r="H872" s="11"/>
      <c r="I872" s="11"/>
      <c r="J872" s="11"/>
      <c r="K872" s="11"/>
      <c r="L872" s="15"/>
      <c r="M872" s="15"/>
      <c r="N872" s="15"/>
      <c r="O872" s="15"/>
      <c r="P872" s="15"/>
      <c r="Q872" s="11"/>
      <c r="R872" s="11"/>
      <c r="S872" s="11"/>
      <c r="T872" s="11"/>
      <c r="U872" s="15"/>
      <c r="V872" s="11"/>
      <c r="W872" s="11"/>
      <c r="X872" s="11"/>
      <c r="Y872" s="11"/>
      <c r="Z872" s="11"/>
    </row>
    <row r="873">
      <c r="A873" s="18"/>
      <c r="B873" s="11"/>
      <c r="C873" s="11"/>
      <c r="D873" s="11"/>
      <c r="E873" s="11"/>
      <c r="F873" s="11"/>
      <c r="G873" s="11"/>
      <c r="H873" s="11"/>
      <c r="I873" s="11"/>
      <c r="J873" s="11"/>
      <c r="K873" s="11"/>
      <c r="L873" s="15"/>
      <c r="M873" s="15"/>
      <c r="N873" s="15"/>
      <c r="O873" s="15"/>
      <c r="P873" s="15"/>
      <c r="Q873" s="11"/>
      <c r="R873" s="11"/>
      <c r="S873" s="11"/>
      <c r="T873" s="11"/>
      <c r="U873" s="15"/>
      <c r="V873" s="11"/>
      <c r="W873" s="11"/>
      <c r="X873" s="11"/>
      <c r="Y873" s="11"/>
      <c r="Z873" s="11"/>
    </row>
    <row r="874">
      <c r="A874" s="18"/>
      <c r="B874" s="11"/>
      <c r="C874" s="11"/>
      <c r="D874" s="11"/>
      <c r="E874" s="11"/>
      <c r="F874" s="11"/>
      <c r="G874" s="11"/>
      <c r="H874" s="11"/>
      <c r="I874" s="11"/>
      <c r="J874" s="11"/>
      <c r="K874" s="11"/>
      <c r="L874" s="15"/>
      <c r="M874" s="15"/>
      <c r="N874" s="15"/>
      <c r="O874" s="15"/>
      <c r="P874" s="15"/>
      <c r="Q874" s="11"/>
      <c r="R874" s="11"/>
      <c r="S874" s="11"/>
      <c r="T874" s="11"/>
      <c r="U874" s="15"/>
      <c r="V874" s="11"/>
      <c r="W874" s="11"/>
      <c r="X874" s="11"/>
      <c r="Y874" s="11"/>
      <c r="Z874" s="11"/>
    </row>
    <row r="875">
      <c r="A875" s="18"/>
      <c r="B875" s="11"/>
      <c r="C875" s="11"/>
      <c r="D875" s="11"/>
      <c r="E875" s="11"/>
      <c r="F875" s="11"/>
      <c r="G875" s="11"/>
      <c r="H875" s="11"/>
      <c r="I875" s="11"/>
      <c r="J875" s="11"/>
      <c r="K875" s="11"/>
      <c r="L875" s="15"/>
      <c r="M875" s="15"/>
      <c r="N875" s="15"/>
      <c r="O875" s="15"/>
      <c r="P875" s="15"/>
      <c r="Q875" s="11"/>
      <c r="R875" s="11"/>
      <c r="S875" s="11"/>
      <c r="T875" s="11"/>
      <c r="U875" s="15"/>
      <c r="V875" s="11"/>
      <c r="W875" s="11"/>
      <c r="X875" s="11"/>
      <c r="Y875" s="11"/>
      <c r="Z875" s="11"/>
    </row>
    <row r="876">
      <c r="A876" s="18"/>
      <c r="B876" s="11"/>
      <c r="C876" s="11"/>
      <c r="D876" s="11"/>
      <c r="E876" s="11"/>
      <c r="F876" s="11"/>
      <c r="G876" s="11"/>
      <c r="H876" s="11"/>
      <c r="I876" s="11"/>
      <c r="J876" s="11"/>
      <c r="K876" s="11"/>
      <c r="L876" s="15"/>
      <c r="M876" s="15"/>
      <c r="N876" s="15"/>
      <c r="O876" s="15"/>
      <c r="P876" s="15"/>
      <c r="Q876" s="11"/>
      <c r="R876" s="11"/>
      <c r="S876" s="11"/>
      <c r="T876" s="11"/>
      <c r="U876" s="15"/>
      <c r="V876" s="11"/>
      <c r="W876" s="11"/>
      <c r="X876" s="11"/>
      <c r="Y876" s="11"/>
      <c r="Z876" s="11"/>
    </row>
    <row r="877">
      <c r="A877" s="18"/>
      <c r="B877" s="11"/>
      <c r="C877" s="11"/>
      <c r="D877" s="11"/>
      <c r="E877" s="11"/>
      <c r="F877" s="11"/>
      <c r="G877" s="11"/>
      <c r="H877" s="11"/>
      <c r="I877" s="11"/>
      <c r="J877" s="11"/>
      <c r="K877" s="11"/>
      <c r="L877" s="15"/>
      <c r="M877" s="15"/>
      <c r="N877" s="15"/>
      <c r="O877" s="15"/>
      <c r="P877" s="15"/>
      <c r="Q877" s="11"/>
      <c r="R877" s="11"/>
      <c r="S877" s="11"/>
      <c r="T877" s="11"/>
      <c r="U877" s="15"/>
      <c r="V877" s="11"/>
      <c r="W877" s="11"/>
      <c r="X877" s="11"/>
      <c r="Y877" s="11"/>
      <c r="Z877" s="11"/>
    </row>
    <row r="878">
      <c r="A878" s="18"/>
      <c r="B878" s="11"/>
      <c r="C878" s="11"/>
      <c r="D878" s="11"/>
      <c r="E878" s="11"/>
      <c r="F878" s="11"/>
      <c r="G878" s="11"/>
      <c r="H878" s="11"/>
      <c r="I878" s="11"/>
      <c r="J878" s="11"/>
      <c r="K878" s="11"/>
      <c r="L878" s="15"/>
      <c r="M878" s="15"/>
      <c r="N878" s="15"/>
      <c r="O878" s="15"/>
      <c r="P878" s="15"/>
      <c r="Q878" s="11"/>
      <c r="R878" s="11"/>
      <c r="S878" s="11"/>
      <c r="T878" s="11"/>
      <c r="U878" s="15"/>
      <c r="V878" s="11"/>
      <c r="W878" s="11"/>
      <c r="X878" s="11"/>
      <c r="Y878" s="11"/>
      <c r="Z878" s="11"/>
    </row>
    <row r="879">
      <c r="A879" s="18"/>
      <c r="B879" s="11"/>
      <c r="C879" s="11"/>
      <c r="D879" s="11"/>
      <c r="E879" s="11"/>
      <c r="F879" s="11"/>
      <c r="G879" s="11"/>
      <c r="H879" s="11"/>
      <c r="I879" s="11"/>
      <c r="J879" s="11"/>
      <c r="K879" s="11"/>
      <c r="L879" s="15"/>
      <c r="M879" s="15"/>
      <c r="N879" s="15"/>
      <c r="O879" s="15"/>
      <c r="P879" s="15"/>
      <c r="Q879" s="11"/>
      <c r="R879" s="11"/>
      <c r="S879" s="11"/>
      <c r="T879" s="11"/>
      <c r="U879" s="15"/>
      <c r="V879" s="11"/>
      <c r="W879" s="11"/>
      <c r="X879" s="11"/>
      <c r="Y879" s="11"/>
      <c r="Z879" s="11"/>
    </row>
    <row r="880">
      <c r="A880" s="18"/>
      <c r="B880" s="11"/>
      <c r="C880" s="11"/>
      <c r="D880" s="11"/>
      <c r="E880" s="11"/>
      <c r="F880" s="11"/>
      <c r="G880" s="11"/>
      <c r="H880" s="11"/>
      <c r="I880" s="11"/>
      <c r="J880" s="11"/>
      <c r="K880" s="11"/>
      <c r="L880" s="15"/>
      <c r="M880" s="15"/>
      <c r="N880" s="15"/>
      <c r="O880" s="15"/>
      <c r="P880" s="15"/>
      <c r="Q880" s="11"/>
      <c r="R880" s="11"/>
      <c r="S880" s="11"/>
      <c r="T880" s="11"/>
      <c r="U880" s="15"/>
      <c r="V880" s="11"/>
      <c r="W880" s="11"/>
      <c r="X880" s="11"/>
      <c r="Y880" s="11"/>
      <c r="Z880" s="11"/>
    </row>
    <row r="881">
      <c r="A881" s="18"/>
      <c r="B881" s="11"/>
      <c r="C881" s="11"/>
      <c r="D881" s="11"/>
      <c r="E881" s="11"/>
      <c r="F881" s="11"/>
      <c r="G881" s="11"/>
      <c r="H881" s="11"/>
      <c r="I881" s="11"/>
      <c r="J881" s="11"/>
      <c r="K881" s="11"/>
      <c r="L881" s="15"/>
      <c r="M881" s="15"/>
      <c r="N881" s="15"/>
      <c r="O881" s="15"/>
      <c r="P881" s="15"/>
      <c r="Q881" s="11"/>
      <c r="R881" s="11"/>
      <c r="S881" s="11"/>
      <c r="T881" s="11"/>
      <c r="U881" s="15"/>
      <c r="V881" s="11"/>
      <c r="W881" s="11"/>
      <c r="X881" s="11"/>
      <c r="Y881" s="11"/>
      <c r="Z881" s="11"/>
    </row>
    <row r="882">
      <c r="A882" s="18"/>
      <c r="B882" s="11"/>
      <c r="C882" s="11"/>
      <c r="D882" s="11"/>
      <c r="E882" s="11"/>
      <c r="F882" s="11"/>
      <c r="G882" s="11"/>
      <c r="H882" s="11"/>
      <c r="I882" s="11"/>
      <c r="J882" s="11"/>
      <c r="K882" s="11"/>
      <c r="L882" s="15"/>
      <c r="M882" s="15"/>
      <c r="N882" s="15"/>
      <c r="O882" s="15"/>
      <c r="P882" s="15"/>
      <c r="Q882" s="11"/>
      <c r="R882" s="11"/>
      <c r="S882" s="11"/>
      <c r="T882" s="11"/>
      <c r="U882" s="15"/>
      <c r="V882" s="11"/>
      <c r="W882" s="11"/>
      <c r="X882" s="11"/>
      <c r="Y882" s="11"/>
      <c r="Z882" s="11"/>
    </row>
    <row r="883">
      <c r="A883" s="18"/>
      <c r="B883" s="11"/>
      <c r="C883" s="11"/>
      <c r="D883" s="11"/>
      <c r="E883" s="11"/>
      <c r="F883" s="11"/>
      <c r="G883" s="11"/>
      <c r="H883" s="11"/>
      <c r="I883" s="11"/>
      <c r="J883" s="11"/>
      <c r="K883" s="11"/>
      <c r="L883" s="15"/>
      <c r="M883" s="15"/>
      <c r="N883" s="15"/>
      <c r="O883" s="15"/>
      <c r="P883" s="15"/>
      <c r="Q883" s="11"/>
      <c r="R883" s="11"/>
      <c r="S883" s="11"/>
      <c r="T883" s="11"/>
      <c r="U883" s="15"/>
      <c r="V883" s="11"/>
      <c r="W883" s="11"/>
      <c r="X883" s="11"/>
      <c r="Y883" s="11"/>
      <c r="Z883" s="11"/>
    </row>
    <row r="884">
      <c r="A884" s="18"/>
      <c r="B884" s="11"/>
      <c r="C884" s="11"/>
      <c r="D884" s="11"/>
      <c r="E884" s="11"/>
      <c r="F884" s="11"/>
      <c r="G884" s="11"/>
      <c r="H884" s="11"/>
      <c r="I884" s="11"/>
      <c r="J884" s="11"/>
      <c r="K884" s="11"/>
      <c r="L884" s="15"/>
      <c r="M884" s="15"/>
      <c r="N884" s="15"/>
      <c r="O884" s="15"/>
      <c r="P884" s="15"/>
      <c r="Q884" s="11"/>
      <c r="R884" s="11"/>
      <c r="S884" s="11"/>
      <c r="T884" s="11"/>
      <c r="U884" s="15"/>
      <c r="V884" s="11"/>
      <c r="W884" s="11"/>
      <c r="X884" s="11"/>
      <c r="Y884" s="11"/>
      <c r="Z884" s="11"/>
    </row>
    <row r="885">
      <c r="A885" s="18"/>
      <c r="B885" s="11"/>
      <c r="C885" s="11"/>
      <c r="D885" s="11"/>
      <c r="E885" s="11"/>
      <c r="F885" s="11"/>
      <c r="G885" s="11"/>
      <c r="H885" s="11"/>
      <c r="I885" s="11"/>
      <c r="J885" s="11"/>
      <c r="K885" s="11"/>
      <c r="L885" s="15"/>
      <c r="M885" s="15"/>
      <c r="N885" s="15"/>
      <c r="O885" s="15"/>
      <c r="P885" s="15"/>
      <c r="Q885" s="11"/>
      <c r="R885" s="11"/>
      <c r="S885" s="11"/>
      <c r="T885" s="11"/>
      <c r="U885" s="15"/>
      <c r="V885" s="11"/>
      <c r="W885" s="11"/>
      <c r="X885" s="11"/>
      <c r="Y885" s="11"/>
      <c r="Z885" s="11"/>
    </row>
    <row r="886">
      <c r="A886" s="18"/>
      <c r="B886" s="11"/>
      <c r="C886" s="11"/>
      <c r="D886" s="11"/>
      <c r="E886" s="11"/>
      <c r="F886" s="11"/>
      <c r="G886" s="11"/>
      <c r="H886" s="11"/>
      <c r="I886" s="11"/>
      <c r="J886" s="11"/>
      <c r="K886" s="11"/>
      <c r="L886" s="15"/>
      <c r="M886" s="15"/>
      <c r="N886" s="15"/>
      <c r="O886" s="15"/>
      <c r="P886" s="15"/>
      <c r="Q886" s="11"/>
      <c r="R886" s="11"/>
      <c r="S886" s="11"/>
      <c r="T886" s="11"/>
      <c r="U886" s="15"/>
      <c r="V886" s="11"/>
      <c r="W886" s="11"/>
      <c r="X886" s="11"/>
      <c r="Y886" s="11"/>
      <c r="Z886" s="11"/>
    </row>
    <row r="887">
      <c r="A887" s="18"/>
      <c r="B887" s="11"/>
      <c r="C887" s="11"/>
      <c r="D887" s="11"/>
      <c r="E887" s="11"/>
      <c r="F887" s="11"/>
      <c r="G887" s="11"/>
      <c r="H887" s="11"/>
      <c r="I887" s="11"/>
      <c r="J887" s="11"/>
      <c r="K887" s="11"/>
      <c r="L887" s="15"/>
      <c r="M887" s="15"/>
      <c r="N887" s="15"/>
      <c r="O887" s="15"/>
      <c r="P887" s="15"/>
      <c r="Q887" s="11"/>
      <c r="R887" s="11"/>
      <c r="S887" s="11"/>
      <c r="T887" s="11"/>
      <c r="U887" s="15"/>
      <c r="V887" s="11"/>
      <c r="W887" s="11"/>
      <c r="X887" s="11"/>
      <c r="Y887" s="11"/>
      <c r="Z887" s="11"/>
    </row>
    <row r="888">
      <c r="A888" s="18"/>
      <c r="B888" s="11"/>
      <c r="C888" s="11"/>
      <c r="D888" s="11"/>
      <c r="E888" s="11"/>
      <c r="F888" s="11"/>
      <c r="G888" s="11"/>
      <c r="H888" s="11"/>
      <c r="I888" s="11"/>
      <c r="J888" s="11"/>
      <c r="K888" s="11"/>
      <c r="L888" s="15"/>
      <c r="M888" s="15"/>
      <c r="N888" s="15"/>
      <c r="O888" s="15"/>
      <c r="P888" s="15"/>
      <c r="Q888" s="11"/>
      <c r="R888" s="11"/>
      <c r="S888" s="11"/>
      <c r="T888" s="11"/>
      <c r="U888" s="15"/>
      <c r="V888" s="11"/>
      <c r="W888" s="11"/>
      <c r="X888" s="11"/>
      <c r="Y888" s="11"/>
      <c r="Z888" s="11"/>
    </row>
    <row r="889">
      <c r="A889" s="18"/>
      <c r="B889" s="11"/>
      <c r="C889" s="11"/>
      <c r="D889" s="11"/>
      <c r="E889" s="11"/>
      <c r="F889" s="11"/>
      <c r="G889" s="11"/>
      <c r="H889" s="11"/>
      <c r="I889" s="11"/>
      <c r="J889" s="11"/>
      <c r="K889" s="11"/>
      <c r="L889" s="15"/>
      <c r="M889" s="15"/>
      <c r="N889" s="15"/>
      <c r="O889" s="15"/>
      <c r="P889" s="15"/>
      <c r="Q889" s="11"/>
      <c r="R889" s="11"/>
      <c r="S889" s="11"/>
      <c r="T889" s="11"/>
      <c r="U889" s="15"/>
      <c r="V889" s="11"/>
      <c r="W889" s="11"/>
      <c r="X889" s="11"/>
      <c r="Y889" s="11"/>
      <c r="Z889" s="11"/>
    </row>
    <row r="890">
      <c r="A890" s="18"/>
      <c r="B890" s="11"/>
      <c r="C890" s="11"/>
      <c r="D890" s="11"/>
      <c r="E890" s="11"/>
      <c r="F890" s="11"/>
      <c r="G890" s="11"/>
      <c r="H890" s="11"/>
      <c r="I890" s="11"/>
      <c r="J890" s="11"/>
      <c r="K890" s="11"/>
      <c r="L890" s="15"/>
      <c r="M890" s="15"/>
      <c r="N890" s="15"/>
      <c r="O890" s="15"/>
      <c r="P890" s="15"/>
      <c r="Q890" s="11"/>
      <c r="R890" s="11"/>
      <c r="S890" s="11"/>
      <c r="T890" s="11"/>
      <c r="U890" s="15"/>
      <c r="V890" s="11"/>
      <c r="W890" s="11"/>
      <c r="X890" s="11"/>
      <c r="Y890" s="11"/>
      <c r="Z890" s="11"/>
    </row>
    <row r="891">
      <c r="A891" s="18"/>
      <c r="B891" s="11"/>
      <c r="C891" s="11"/>
      <c r="D891" s="11"/>
      <c r="E891" s="11"/>
      <c r="F891" s="11"/>
      <c r="G891" s="11"/>
      <c r="H891" s="11"/>
      <c r="I891" s="11"/>
      <c r="J891" s="11"/>
      <c r="K891" s="11"/>
      <c r="L891" s="15"/>
      <c r="M891" s="15"/>
      <c r="N891" s="15"/>
      <c r="O891" s="15"/>
      <c r="P891" s="15"/>
      <c r="Q891" s="11"/>
      <c r="R891" s="11"/>
      <c r="S891" s="11"/>
      <c r="T891" s="11"/>
      <c r="U891" s="15"/>
      <c r="V891" s="11"/>
      <c r="W891" s="11"/>
      <c r="X891" s="11"/>
      <c r="Y891" s="11"/>
      <c r="Z891" s="11"/>
    </row>
    <row r="892">
      <c r="A892" s="18"/>
      <c r="B892" s="11"/>
      <c r="C892" s="11"/>
      <c r="D892" s="11"/>
      <c r="E892" s="11"/>
      <c r="F892" s="11"/>
      <c r="G892" s="11"/>
      <c r="H892" s="11"/>
      <c r="I892" s="11"/>
      <c r="J892" s="11"/>
      <c r="K892" s="11"/>
      <c r="L892" s="15"/>
      <c r="M892" s="15"/>
      <c r="N892" s="15"/>
      <c r="O892" s="15"/>
      <c r="P892" s="15"/>
      <c r="Q892" s="11"/>
      <c r="R892" s="11"/>
      <c r="S892" s="11"/>
      <c r="T892" s="11"/>
      <c r="U892" s="15"/>
      <c r="V892" s="11"/>
      <c r="W892" s="11"/>
      <c r="X892" s="11"/>
      <c r="Y892" s="11"/>
      <c r="Z892" s="11"/>
    </row>
    <row r="893">
      <c r="A893" s="18"/>
      <c r="B893" s="11"/>
      <c r="C893" s="11"/>
      <c r="D893" s="11"/>
      <c r="E893" s="11"/>
      <c r="F893" s="11"/>
      <c r="G893" s="11"/>
      <c r="H893" s="11"/>
      <c r="I893" s="11"/>
      <c r="J893" s="11"/>
      <c r="K893" s="11"/>
      <c r="L893" s="15"/>
      <c r="M893" s="15"/>
      <c r="N893" s="15"/>
      <c r="O893" s="15"/>
      <c r="P893" s="15"/>
      <c r="Q893" s="11"/>
      <c r="R893" s="11"/>
      <c r="S893" s="11"/>
      <c r="T893" s="11"/>
      <c r="U893" s="15"/>
      <c r="V893" s="11"/>
      <c r="W893" s="11"/>
      <c r="X893" s="11"/>
      <c r="Y893" s="11"/>
      <c r="Z893" s="11"/>
    </row>
    <row r="894">
      <c r="A894" s="18"/>
      <c r="B894" s="11"/>
      <c r="C894" s="11"/>
      <c r="D894" s="11"/>
      <c r="E894" s="11"/>
      <c r="F894" s="11"/>
      <c r="G894" s="11"/>
      <c r="H894" s="11"/>
      <c r="I894" s="11"/>
      <c r="J894" s="11"/>
      <c r="K894" s="11"/>
      <c r="L894" s="15"/>
      <c r="M894" s="15"/>
      <c r="N894" s="15"/>
      <c r="O894" s="15"/>
      <c r="P894" s="15"/>
      <c r="Q894" s="11"/>
      <c r="R894" s="11"/>
      <c r="S894" s="11"/>
      <c r="T894" s="11"/>
      <c r="U894" s="15"/>
      <c r="V894" s="11"/>
      <c r="W894" s="11"/>
      <c r="X894" s="11"/>
      <c r="Y894" s="11"/>
      <c r="Z894" s="11"/>
    </row>
    <row r="895">
      <c r="A895" s="18"/>
      <c r="B895" s="11"/>
      <c r="C895" s="11"/>
      <c r="D895" s="11"/>
      <c r="E895" s="11"/>
      <c r="F895" s="11"/>
      <c r="G895" s="11"/>
      <c r="H895" s="11"/>
      <c r="I895" s="11"/>
      <c r="J895" s="11"/>
      <c r="K895" s="11"/>
      <c r="L895" s="15"/>
      <c r="M895" s="15"/>
      <c r="N895" s="15"/>
      <c r="O895" s="15"/>
      <c r="P895" s="15"/>
      <c r="Q895" s="11"/>
      <c r="R895" s="11"/>
      <c r="S895" s="11"/>
      <c r="T895" s="11"/>
      <c r="U895" s="15"/>
      <c r="V895" s="11"/>
      <c r="W895" s="11"/>
      <c r="X895" s="11"/>
      <c r="Y895" s="11"/>
      <c r="Z895" s="11"/>
    </row>
    <row r="896">
      <c r="A896" s="18"/>
      <c r="B896" s="11"/>
      <c r="C896" s="11"/>
      <c r="D896" s="11"/>
      <c r="E896" s="11"/>
      <c r="F896" s="11"/>
      <c r="G896" s="11"/>
      <c r="H896" s="11"/>
      <c r="I896" s="11"/>
      <c r="J896" s="11"/>
      <c r="K896" s="11"/>
      <c r="L896" s="15"/>
      <c r="M896" s="15"/>
      <c r="N896" s="15"/>
      <c r="O896" s="15"/>
      <c r="P896" s="15"/>
      <c r="Q896" s="11"/>
      <c r="R896" s="11"/>
      <c r="S896" s="11"/>
      <c r="T896" s="11"/>
      <c r="U896" s="15"/>
      <c r="V896" s="11"/>
      <c r="W896" s="11"/>
      <c r="X896" s="11"/>
      <c r="Y896" s="11"/>
      <c r="Z896" s="11"/>
    </row>
    <row r="897">
      <c r="A897" s="18"/>
      <c r="B897" s="11"/>
      <c r="C897" s="11"/>
      <c r="D897" s="11"/>
      <c r="E897" s="11"/>
      <c r="F897" s="11"/>
      <c r="G897" s="11"/>
      <c r="H897" s="11"/>
      <c r="I897" s="11"/>
      <c r="J897" s="11"/>
      <c r="K897" s="11"/>
      <c r="L897" s="15"/>
      <c r="M897" s="15"/>
      <c r="N897" s="15"/>
      <c r="O897" s="15"/>
      <c r="P897" s="15"/>
      <c r="Q897" s="11"/>
      <c r="R897" s="11"/>
      <c r="S897" s="11"/>
      <c r="T897" s="11"/>
      <c r="U897" s="15"/>
      <c r="V897" s="11"/>
      <c r="W897" s="11"/>
      <c r="X897" s="11"/>
      <c r="Y897" s="11"/>
      <c r="Z897" s="11"/>
    </row>
    <row r="898">
      <c r="A898" s="18"/>
      <c r="B898" s="11"/>
      <c r="C898" s="11"/>
      <c r="D898" s="11"/>
      <c r="E898" s="11"/>
      <c r="F898" s="11"/>
      <c r="G898" s="11"/>
      <c r="H898" s="11"/>
      <c r="I898" s="11"/>
      <c r="J898" s="11"/>
      <c r="K898" s="11"/>
      <c r="L898" s="15"/>
      <c r="M898" s="15"/>
      <c r="N898" s="15"/>
      <c r="O898" s="15"/>
      <c r="P898" s="15"/>
      <c r="Q898" s="11"/>
      <c r="R898" s="11"/>
      <c r="S898" s="11"/>
      <c r="T898" s="11"/>
      <c r="U898" s="15"/>
      <c r="V898" s="11"/>
      <c r="W898" s="11"/>
      <c r="X898" s="11"/>
      <c r="Y898" s="11"/>
      <c r="Z898" s="11"/>
    </row>
    <row r="899">
      <c r="A899" s="18"/>
      <c r="B899" s="11"/>
      <c r="C899" s="11"/>
      <c r="D899" s="11"/>
      <c r="E899" s="11"/>
      <c r="F899" s="11"/>
      <c r="G899" s="11"/>
      <c r="H899" s="11"/>
      <c r="I899" s="11"/>
      <c r="J899" s="11"/>
      <c r="K899" s="11"/>
      <c r="L899" s="15"/>
      <c r="M899" s="15"/>
      <c r="N899" s="15"/>
      <c r="O899" s="15"/>
      <c r="P899" s="15"/>
      <c r="Q899" s="11"/>
      <c r="R899" s="11"/>
      <c r="S899" s="11"/>
      <c r="T899" s="11"/>
      <c r="U899" s="15"/>
      <c r="V899" s="11"/>
      <c r="W899" s="11"/>
      <c r="X899" s="11"/>
      <c r="Y899" s="11"/>
      <c r="Z899" s="11"/>
    </row>
    <row r="900">
      <c r="A900" s="18"/>
      <c r="B900" s="11"/>
      <c r="C900" s="11"/>
      <c r="D900" s="11"/>
      <c r="E900" s="11"/>
      <c r="F900" s="11"/>
      <c r="G900" s="11"/>
      <c r="H900" s="11"/>
      <c r="I900" s="11"/>
      <c r="J900" s="11"/>
      <c r="K900" s="11"/>
      <c r="L900" s="15"/>
      <c r="M900" s="15"/>
      <c r="N900" s="15"/>
      <c r="O900" s="15"/>
      <c r="P900" s="15"/>
      <c r="Q900" s="11"/>
      <c r="R900" s="11"/>
      <c r="S900" s="11"/>
      <c r="T900" s="11"/>
      <c r="U900" s="15"/>
      <c r="V900" s="11"/>
      <c r="W900" s="11"/>
      <c r="X900" s="11"/>
      <c r="Y900" s="11"/>
      <c r="Z900" s="11"/>
    </row>
    <row r="901">
      <c r="A901" s="18"/>
      <c r="B901" s="11"/>
      <c r="C901" s="11"/>
      <c r="D901" s="11"/>
      <c r="E901" s="11"/>
      <c r="F901" s="11"/>
      <c r="G901" s="11"/>
      <c r="H901" s="11"/>
      <c r="I901" s="11"/>
      <c r="J901" s="11"/>
      <c r="K901" s="11"/>
      <c r="L901" s="15"/>
      <c r="M901" s="15"/>
      <c r="N901" s="15"/>
      <c r="O901" s="15"/>
      <c r="P901" s="15"/>
      <c r="Q901" s="11"/>
      <c r="R901" s="11"/>
      <c r="S901" s="11"/>
      <c r="T901" s="11"/>
      <c r="U901" s="15"/>
      <c r="V901" s="11"/>
      <c r="W901" s="11"/>
      <c r="X901" s="11"/>
      <c r="Y901" s="11"/>
      <c r="Z901" s="11"/>
    </row>
    <row r="902">
      <c r="A902" s="18"/>
      <c r="B902" s="11"/>
      <c r="C902" s="11"/>
      <c r="D902" s="11"/>
      <c r="E902" s="11"/>
      <c r="F902" s="11"/>
      <c r="G902" s="11"/>
      <c r="H902" s="11"/>
      <c r="I902" s="11"/>
      <c r="J902" s="11"/>
      <c r="K902" s="11"/>
      <c r="L902" s="15"/>
      <c r="M902" s="15"/>
      <c r="N902" s="15"/>
      <c r="O902" s="15"/>
      <c r="P902" s="15"/>
      <c r="Q902" s="11"/>
      <c r="R902" s="11"/>
      <c r="S902" s="11"/>
      <c r="T902" s="11"/>
      <c r="U902" s="15"/>
      <c r="V902" s="11"/>
      <c r="W902" s="11"/>
      <c r="X902" s="11"/>
      <c r="Y902" s="11"/>
      <c r="Z902" s="11"/>
    </row>
    <row r="903">
      <c r="A903" s="18"/>
      <c r="B903" s="11"/>
      <c r="C903" s="11"/>
      <c r="D903" s="11"/>
      <c r="E903" s="11"/>
      <c r="F903" s="11"/>
      <c r="G903" s="11"/>
      <c r="H903" s="11"/>
      <c r="I903" s="11"/>
      <c r="J903" s="11"/>
      <c r="K903" s="11"/>
      <c r="L903" s="15"/>
      <c r="M903" s="15"/>
      <c r="N903" s="15"/>
      <c r="O903" s="15"/>
      <c r="P903" s="15"/>
      <c r="Q903" s="11"/>
      <c r="R903" s="11"/>
      <c r="S903" s="11"/>
      <c r="T903" s="11"/>
      <c r="U903" s="15"/>
      <c r="V903" s="11"/>
      <c r="W903" s="11"/>
      <c r="X903" s="11"/>
      <c r="Y903" s="11"/>
      <c r="Z903" s="11"/>
    </row>
    <row r="904">
      <c r="A904" s="18"/>
      <c r="B904" s="11"/>
      <c r="C904" s="11"/>
      <c r="D904" s="11"/>
      <c r="E904" s="11"/>
      <c r="F904" s="11"/>
      <c r="G904" s="11"/>
      <c r="H904" s="11"/>
      <c r="I904" s="11"/>
      <c r="J904" s="11"/>
      <c r="K904" s="11"/>
      <c r="L904" s="15"/>
      <c r="M904" s="15"/>
      <c r="N904" s="15"/>
      <c r="O904" s="15"/>
      <c r="P904" s="15"/>
      <c r="Q904" s="11"/>
      <c r="R904" s="11"/>
      <c r="S904" s="11"/>
      <c r="T904" s="11"/>
      <c r="U904" s="15"/>
      <c r="V904" s="11"/>
      <c r="W904" s="11"/>
      <c r="X904" s="11"/>
      <c r="Y904" s="11"/>
      <c r="Z904" s="11"/>
    </row>
    <row r="905">
      <c r="A905" s="18"/>
      <c r="B905" s="11"/>
      <c r="C905" s="11"/>
      <c r="D905" s="11"/>
      <c r="E905" s="11"/>
      <c r="F905" s="11"/>
      <c r="G905" s="11"/>
      <c r="H905" s="11"/>
      <c r="I905" s="11"/>
      <c r="J905" s="11"/>
      <c r="K905" s="11"/>
      <c r="L905" s="15"/>
      <c r="M905" s="15"/>
      <c r="N905" s="15"/>
      <c r="O905" s="15"/>
      <c r="P905" s="15"/>
      <c r="Q905" s="11"/>
      <c r="R905" s="11"/>
      <c r="S905" s="11"/>
      <c r="T905" s="11"/>
      <c r="U905" s="15"/>
      <c r="V905" s="11"/>
      <c r="W905" s="11"/>
      <c r="X905" s="11"/>
      <c r="Y905" s="11"/>
      <c r="Z905" s="11"/>
    </row>
    <row r="906">
      <c r="A906" s="18"/>
      <c r="B906" s="11"/>
      <c r="C906" s="11"/>
      <c r="D906" s="11"/>
      <c r="E906" s="11"/>
      <c r="F906" s="11"/>
      <c r="G906" s="11"/>
      <c r="H906" s="11"/>
      <c r="I906" s="11"/>
      <c r="J906" s="11"/>
      <c r="K906" s="11"/>
      <c r="L906" s="15"/>
      <c r="M906" s="15"/>
      <c r="N906" s="15"/>
      <c r="O906" s="15"/>
      <c r="P906" s="15"/>
      <c r="Q906" s="11"/>
      <c r="R906" s="11"/>
      <c r="S906" s="11"/>
      <c r="T906" s="11"/>
      <c r="U906" s="15"/>
      <c r="V906" s="11"/>
      <c r="W906" s="11"/>
      <c r="X906" s="11"/>
      <c r="Y906" s="11"/>
      <c r="Z906" s="11"/>
    </row>
    <row r="907">
      <c r="A907" s="18"/>
      <c r="B907" s="11"/>
      <c r="C907" s="11"/>
      <c r="D907" s="11"/>
      <c r="E907" s="11"/>
      <c r="F907" s="11"/>
      <c r="G907" s="11"/>
      <c r="H907" s="11"/>
      <c r="I907" s="11"/>
      <c r="J907" s="11"/>
      <c r="K907" s="11"/>
      <c r="L907" s="15"/>
      <c r="M907" s="15"/>
      <c r="N907" s="15"/>
      <c r="O907" s="15"/>
      <c r="P907" s="15"/>
      <c r="Q907" s="11"/>
      <c r="R907" s="11"/>
      <c r="S907" s="11"/>
      <c r="T907" s="11"/>
      <c r="U907" s="15"/>
      <c r="V907" s="11"/>
      <c r="W907" s="11"/>
      <c r="X907" s="11"/>
      <c r="Y907" s="11"/>
      <c r="Z907" s="11"/>
    </row>
    <row r="908">
      <c r="A908" s="18"/>
      <c r="B908" s="11"/>
      <c r="C908" s="11"/>
      <c r="D908" s="11"/>
      <c r="E908" s="11"/>
      <c r="F908" s="11"/>
      <c r="G908" s="11"/>
      <c r="H908" s="11"/>
      <c r="I908" s="11"/>
      <c r="J908" s="11"/>
      <c r="K908" s="11"/>
      <c r="L908" s="15"/>
      <c r="M908" s="15"/>
      <c r="N908" s="15"/>
      <c r="O908" s="15"/>
      <c r="P908" s="15"/>
      <c r="Q908" s="11"/>
      <c r="R908" s="11"/>
      <c r="S908" s="11"/>
      <c r="T908" s="11"/>
      <c r="U908" s="15"/>
      <c r="V908" s="11"/>
      <c r="W908" s="11"/>
      <c r="X908" s="11"/>
      <c r="Y908" s="11"/>
      <c r="Z908" s="11"/>
    </row>
    <row r="909">
      <c r="A909" s="18"/>
      <c r="B909" s="11"/>
      <c r="C909" s="11"/>
      <c r="D909" s="11"/>
      <c r="E909" s="11"/>
      <c r="F909" s="11"/>
      <c r="G909" s="11"/>
      <c r="H909" s="11"/>
      <c r="I909" s="11"/>
      <c r="J909" s="11"/>
      <c r="K909" s="11"/>
      <c r="L909" s="15"/>
      <c r="M909" s="15"/>
      <c r="N909" s="15"/>
      <c r="O909" s="15"/>
      <c r="P909" s="15"/>
      <c r="Q909" s="11"/>
      <c r="R909" s="11"/>
      <c r="S909" s="11"/>
      <c r="T909" s="11"/>
      <c r="U909" s="15"/>
      <c r="V909" s="11"/>
      <c r="W909" s="11"/>
      <c r="X909" s="11"/>
      <c r="Y909" s="11"/>
      <c r="Z909" s="11"/>
    </row>
    <row r="910">
      <c r="A910" s="18"/>
      <c r="B910" s="11"/>
      <c r="C910" s="11"/>
      <c r="D910" s="11"/>
      <c r="E910" s="11"/>
      <c r="F910" s="11"/>
      <c r="G910" s="11"/>
      <c r="H910" s="11"/>
      <c r="I910" s="11"/>
      <c r="J910" s="11"/>
      <c r="K910" s="11"/>
      <c r="L910" s="15"/>
      <c r="M910" s="15"/>
      <c r="N910" s="15"/>
      <c r="O910" s="15"/>
      <c r="P910" s="15"/>
      <c r="Q910" s="11"/>
      <c r="R910" s="11"/>
      <c r="S910" s="11"/>
      <c r="T910" s="11"/>
      <c r="U910" s="15"/>
      <c r="V910" s="11"/>
      <c r="W910" s="11"/>
      <c r="X910" s="11"/>
      <c r="Y910" s="11"/>
      <c r="Z910" s="11"/>
    </row>
    <row r="911">
      <c r="A911" s="18"/>
      <c r="B911" s="11"/>
      <c r="C911" s="11"/>
      <c r="D911" s="11"/>
      <c r="E911" s="11"/>
      <c r="F911" s="11"/>
      <c r="G911" s="11"/>
      <c r="H911" s="11"/>
      <c r="I911" s="11"/>
      <c r="J911" s="11"/>
      <c r="K911" s="11"/>
      <c r="L911" s="15"/>
      <c r="M911" s="15"/>
      <c r="N911" s="15"/>
      <c r="O911" s="15"/>
      <c r="P911" s="15"/>
      <c r="Q911" s="11"/>
      <c r="R911" s="11"/>
      <c r="S911" s="11"/>
      <c r="T911" s="11"/>
      <c r="U911" s="15"/>
      <c r="V911" s="11"/>
      <c r="W911" s="11"/>
      <c r="X911" s="11"/>
      <c r="Y911" s="11"/>
      <c r="Z911" s="11"/>
    </row>
    <row r="912">
      <c r="A912" s="18"/>
      <c r="B912" s="11"/>
      <c r="C912" s="11"/>
      <c r="D912" s="11"/>
      <c r="E912" s="11"/>
      <c r="F912" s="11"/>
      <c r="G912" s="11"/>
      <c r="H912" s="11"/>
      <c r="I912" s="11"/>
      <c r="J912" s="11"/>
      <c r="K912" s="11"/>
      <c r="L912" s="15"/>
      <c r="M912" s="15"/>
      <c r="N912" s="15"/>
      <c r="O912" s="15"/>
      <c r="P912" s="15"/>
      <c r="Q912" s="11"/>
      <c r="R912" s="11"/>
      <c r="S912" s="11"/>
      <c r="T912" s="11"/>
      <c r="U912" s="15"/>
      <c r="V912" s="11"/>
      <c r="W912" s="11"/>
      <c r="X912" s="11"/>
      <c r="Y912" s="11"/>
      <c r="Z912" s="11"/>
    </row>
    <row r="913">
      <c r="A913" s="18"/>
      <c r="B913" s="11"/>
      <c r="C913" s="11"/>
      <c r="D913" s="11"/>
      <c r="E913" s="11"/>
      <c r="F913" s="11"/>
      <c r="G913" s="11"/>
      <c r="H913" s="11"/>
      <c r="I913" s="11"/>
      <c r="J913" s="11"/>
      <c r="K913" s="11"/>
      <c r="L913" s="15"/>
      <c r="M913" s="15"/>
      <c r="N913" s="15"/>
      <c r="O913" s="15"/>
      <c r="P913" s="15"/>
      <c r="Q913" s="11"/>
      <c r="R913" s="11"/>
      <c r="S913" s="11"/>
      <c r="T913" s="11"/>
      <c r="U913" s="15"/>
      <c r="V913" s="11"/>
      <c r="W913" s="11"/>
      <c r="X913" s="11"/>
      <c r="Y913" s="11"/>
      <c r="Z913" s="11"/>
    </row>
    <row r="914">
      <c r="A914" s="18"/>
      <c r="B914" s="11"/>
      <c r="C914" s="11"/>
      <c r="D914" s="11"/>
      <c r="E914" s="11"/>
      <c r="F914" s="11"/>
      <c r="G914" s="11"/>
      <c r="H914" s="11"/>
      <c r="I914" s="11"/>
      <c r="J914" s="11"/>
      <c r="K914" s="11"/>
      <c r="L914" s="15"/>
      <c r="M914" s="15"/>
      <c r="N914" s="15"/>
      <c r="O914" s="15"/>
      <c r="P914" s="15"/>
      <c r="Q914" s="11"/>
      <c r="R914" s="11"/>
      <c r="S914" s="11"/>
      <c r="T914" s="11"/>
      <c r="U914" s="15"/>
      <c r="V914" s="11"/>
      <c r="W914" s="11"/>
      <c r="X914" s="11"/>
      <c r="Y914" s="11"/>
      <c r="Z914" s="11"/>
    </row>
    <row r="915">
      <c r="A915" s="18"/>
      <c r="B915" s="11"/>
      <c r="C915" s="11"/>
      <c r="D915" s="11"/>
      <c r="E915" s="11"/>
      <c r="F915" s="11"/>
      <c r="G915" s="11"/>
      <c r="H915" s="11"/>
      <c r="I915" s="11"/>
      <c r="J915" s="11"/>
      <c r="K915" s="11"/>
      <c r="L915" s="15"/>
      <c r="M915" s="15"/>
      <c r="N915" s="15"/>
      <c r="O915" s="15"/>
      <c r="P915" s="15"/>
      <c r="Q915" s="11"/>
      <c r="R915" s="11"/>
      <c r="S915" s="11"/>
      <c r="T915" s="11"/>
      <c r="U915" s="15"/>
      <c r="V915" s="11"/>
      <c r="W915" s="11"/>
      <c r="X915" s="11"/>
      <c r="Y915" s="11"/>
      <c r="Z915" s="11"/>
    </row>
    <row r="916">
      <c r="A916" s="18"/>
      <c r="B916" s="11"/>
      <c r="C916" s="11"/>
      <c r="D916" s="11"/>
      <c r="E916" s="11"/>
      <c r="F916" s="11"/>
      <c r="G916" s="11"/>
      <c r="H916" s="11"/>
      <c r="I916" s="11"/>
      <c r="J916" s="11"/>
      <c r="K916" s="11"/>
      <c r="L916" s="15"/>
      <c r="M916" s="15"/>
      <c r="N916" s="15"/>
      <c r="O916" s="15"/>
      <c r="P916" s="15"/>
      <c r="Q916" s="11"/>
      <c r="R916" s="11"/>
      <c r="S916" s="11"/>
      <c r="T916" s="11"/>
      <c r="U916" s="15"/>
      <c r="V916" s="11"/>
      <c r="W916" s="11"/>
      <c r="X916" s="11"/>
      <c r="Y916" s="11"/>
      <c r="Z916" s="11"/>
    </row>
    <row r="917">
      <c r="A917" s="18"/>
      <c r="B917" s="11"/>
      <c r="C917" s="11"/>
      <c r="D917" s="11"/>
      <c r="E917" s="11"/>
      <c r="F917" s="11"/>
      <c r="G917" s="11"/>
      <c r="H917" s="11"/>
      <c r="I917" s="11"/>
      <c r="J917" s="11"/>
      <c r="K917" s="11"/>
      <c r="L917" s="15"/>
      <c r="M917" s="15"/>
      <c r="N917" s="15"/>
      <c r="O917" s="15"/>
      <c r="P917" s="15"/>
      <c r="Q917" s="11"/>
      <c r="R917" s="11"/>
      <c r="S917" s="11"/>
      <c r="T917" s="11"/>
      <c r="U917" s="15"/>
      <c r="V917" s="11"/>
      <c r="W917" s="11"/>
      <c r="X917" s="11"/>
      <c r="Y917" s="11"/>
      <c r="Z917" s="11"/>
    </row>
    <row r="918">
      <c r="A918" s="18"/>
      <c r="B918" s="11"/>
      <c r="C918" s="11"/>
      <c r="D918" s="11"/>
      <c r="E918" s="11"/>
      <c r="F918" s="11"/>
      <c r="G918" s="11"/>
      <c r="H918" s="11"/>
      <c r="I918" s="11"/>
      <c r="J918" s="11"/>
      <c r="K918" s="11"/>
      <c r="L918" s="15"/>
      <c r="M918" s="15"/>
      <c r="N918" s="15"/>
      <c r="O918" s="15"/>
      <c r="P918" s="15"/>
      <c r="Q918" s="11"/>
      <c r="R918" s="11"/>
      <c r="S918" s="11"/>
      <c r="T918" s="11"/>
      <c r="U918" s="15"/>
      <c r="V918" s="11"/>
      <c r="W918" s="11"/>
      <c r="X918" s="11"/>
      <c r="Y918" s="11"/>
      <c r="Z918" s="11"/>
    </row>
    <row r="919">
      <c r="A919" s="18"/>
      <c r="B919" s="11"/>
      <c r="C919" s="11"/>
      <c r="D919" s="11"/>
      <c r="E919" s="11"/>
      <c r="F919" s="11"/>
      <c r="G919" s="11"/>
      <c r="H919" s="11"/>
      <c r="I919" s="11"/>
      <c r="J919" s="11"/>
      <c r="K919" s="11"/>
      <c r="L919" s="15"/>
      <c r="M919" s="15"/>
      <c r="N919" s="15"/>
      <c r="O919" s="15"/>
      <c r="P919" s="15"/>
      <c r="Q919" s="11"/>
      <c r="R919" s="11"/>
      <c r="S919" s="11"/>
      <c r="T919" s="11"/>
      <c r="U919" s="15"/>
      <c r="V919" s="11"/>
      <c r="W919" s="11"/>
      <c r="X919" s="11"/>
      <c r="Y919" s="11"/>
      <c r="Z919" s="11"/>
    </row>
    <row r="920">
      <c r="A920" s="18"/>
      <c r="B920" s="11"/>
      <c r="C920" s="11"/>
      <c r="D920" s="11"/>
      <c r="E920" s="11"/>
      <c r="F920" s="11"/>
      <c r="G920" s="11"/>
      <c r="H920" s="11"/>
      <c r="I920" s="11"/>
      <c r="J920" s="11"/>
      <c r="K920" s="11"/>
      <c r="L920" s="15"/>
      <c r="M920" s="15"/>
      <c r="N920" s="15"/>
      <c r="O920" s="15"/>
      <c r="P920" s="15"/>
      <c r="Q920" s="11"/>
      <c r="R920" s="11"/>
      <c r="S920" s="11"/>
      <c r="T920" s="11"/>
      <c r="U920" s="15"/>
      <c r="V920" s="11"/>
      <c r="W920" s="11"/>
      <c r="X920" s="11"/>
      <c r="Y920" s="11"/>
      <c r="Z920" s="11"/>
    </row>
    <row r="921">
      <c r="A921" s="18"/>
      <c r="B921" s="11"/>
      <c r="C921" s="11"/>
      <c r="D921" s="11"/>
      <c r="E921" s="11"/>
      <c r="F921" s="11"/>
      <c r="G921" s="11"/>
      <c r="H921" s="11"/>
      <c r="I921" s="11"/>
      <c r="J921" s="11"/>
      <c r="K921" s="11"/>
      <c r="L921" s="15"/>
      <c r="M921" s="15"/>
      <c r="N921" s="15"/>
      <c r="O921" s="15"/>
      <c r="P921" s="15"/>
      <c r="Q921" s="11"/>
      <c r="R921" s="11"/>
      <c r="S921" s="11"/>
      <c r="T921" s="11"/>
      <c r="U921" s="15"/>
      <c r="V921" s="11"/>
      <c r="W921" s="11"/>
      <c r="X921" s="11"/>
      <c r="Y921" s="11"/>
      <c r="Z921" s="11"/>
    </row>
    <row r="922">
      <c r="A922" s="18"/>
      <c r="B922" s="11"/>
      <c r="C922" s="11"/>
      <c r="D922" s="11"/>
      <c r="E922" s="11"/>
      <c r="F922" s="11"/>
      <c r="G922" s="11"/>
      <c r="H922" s="11"/>
      <c r="I922" s="11"/>
      <c r="J922" s="11"/>
      <c r="K922" s="11"/>
      <c r="L922" s="15"/>
      <c r="M922" s="15"/>
      <c r="N922" s="15"/>
      <c r="O922" s="15"/>
      <c r="P922" s="15"/>
      <c r="Q922" s="11"/>
      <c r="R922" s="11"/>
      <c r="S922" s="11"/>
      <c r="T922" s="11"/>
      <c r="U922" s="15"/>
      <c r="V922" s="11"/>
      <c r="W922" s="11"/>
      <c r="X922" s="11"/>
      <c r="Y922" s="11"/>
      <c r="Z922" s="11"/>
    </row>
    <row r="923">
      <c r="A923" s="18"/>
      <c r="B923" s="11"/>
      <c r="C923" s="11"/>
      <c r="D923" s="11"/>
      <c r="E923" s="11"/>
      <c r="F923" s="11"/>
      <c r="G923" s="11"/>
      <c r="H923" s="11"/>
      <c r="I923" s="11"/>
      <c r="J923" s="11"/>
      <c r="K923" s="11"/>
      <c r="L923" s="15"/>
      <c r="M923" s="15"/>
      <c r="N923" s="15"/>
      <c r="O923" s="15"/>
      <c r="P923" s="15"/>
      <c r="Q923" s="11"/>
      <c r="R923" s="11"/>
      <c r="S923" s="11"/>
      <c r="T923" s="11"/>
      <c r="U923" s="15"/>
      <c r="V923" s="11"/>
      <c r="W923" s="11"/>
      <c r="X923" s="11"/>
      <c r="Y923" s="11"/>
      <c r="Z923" s="11"/>
    </row>
    <row r="924">
      <c r="A924" s="18"/>
      <c r="B924" s="11"/>
      <c r="C924" s="11"/>
      <c r="D924" s="11"/>
      <c r="E924" s="11"/>
      <c r="F924" s="11"/>
      <c r="G924" s="11"/>
      <c r="H924" s="11"/>
      <c r="I924" s="11"/>
      <c r="J924" s="11"/>
      <c r="K924" s="11"/>
      <c r="L924" s="15"/>
      <c r="M924" s="15"/>
      <c r="N924" s="15"/>
      <c r="O924" s="15"/>
      <c r="P924" s="15"/>
      <c r="Q924" s="11"/>
      <c r="R924" s="11"/>
      <c r="S924" s="11"/>
      <c r="T924" s="11"/>
      <c r="U924" s="15"/>
      <c r="V924" s="11"/>
      <c r="W924" s="11"/>
      <c r="X924" s="11"/>
      <c r="Y924" s="11"/>
      <c r="Z924" s="11"/>
    </row>
    <row r="925">
      <c r="A925" s="18"/>
      <c r="B925" s="11"/>
      <c r="C925" s="11"/>
      <c r="D925" s="11"/>
      <c r="E925" s="11"/>
      <c r="F925" s="11"/>
      <c r="G925" s="11"/>
      <c r="H925" s="11"/>
      <c r="I925" s="11"/>
      <c r="J925" s="11"/>
      <c r="K925" s="11"/>
      <c r="L925" s="15"/>
      <c r="M925" s="15"/>
      <c r="N925" s="15"/>
      <c r="O925" s="15"/>
      <c r="P925" s="15"/>
      <c r="Q925" s="11"/>
      <c r="R925" s="11"/>
      <c r="S925" s="11"/>
      <c r="T925" s="11"/>
      <c r="U925" s="15"/>
      <c r="V925" s="11"/>
      <c r="W925" s="11"/>
      <c r="X925" s="11"/>
      <c r="Y925" s="11"/>
      <c r="Z925" s="11"/>
    </row>
    <row r="926">
      <c r="A926" s="18"/>
      <c r="B926" s="11"/>
      <c r="C926" s="11"/>
      <c r="D926" s="11"/>
      <c r="E926" s="11"/>
      <c r="F926" s="11"/>
      <c r="G926" s="11"/>
      <c r="H926" s="11"/>
      <c r="I926" s="11"/>
      <c r="J926" s="11"/>
      <c r="K926" s="11"/>
      <c r="L926" s="15"/>
      <c r="M926" s="15"/>
      <c r="N926" s="15"/>
      <c r="O926" s="15"/>
      <c r="P926" s="15"/>
      <c r="Q926" s="11"/>
      <c r="R926" s="11"/>
      <c r="S926" s="11"/>
      <c r="T926" s="11"/>
      <c r="U926" s="15"/>
      <c r="V926" s="11"/>
      <c r="W926" s="11"/>
      <c r="X926" s="11"/>
      <c r="Y926" s="11"/>
      <c r="Z926" s="11"/>
    </row>
    <row r="927">
      <c r="A927" s="18"/>
      <c r="B927" s="11"/>
      <c r="C927" s="11"/>
      <c r="D927" s="11"/>
      <c r="E927" s="11"/>
      <c r="F927" s="11"/>
      <c r="G927" s="11"/>
      <c r="H927" s="11"/>
      <c r="I927" s="11"/>
      <c r="J927" s="11"/>
      <c r="K927" s="11"/>
      <c r="L927" s="15"/>
      <c r="M927" s="15"/>
      <c r="N927" s="15"/>
      <c r="O927" s="15"/>
      <c r="P927" s="15"/>
      <c r="Q927" s="11"/>
      <c r="R927" s="11"/>
      <c r="S927" s="11"/>
      <c r="T927" s="11"/>
      <c r="U927" s="15"/>
      <c r="V927" s="11"/>
      <c r="W927" s="11"/>
      <c r="X927" s="11"/>
      <c r="Y927" s="11"/>
      <c r="Z927" s="11"/>
    </row>
    <row r="928">
      <c r="A928" s="18"/>
      <c r="B928" s="11"/>
      <c r="C928" s="11"/>
      <c r="D928" s="11"/>
      <c r="E928" s="11"/>
      <c r="F928" s="11"/>
      <c r="G928" s="11"/>
      <c r="H928" s="11"/>
      <c r="I928" s="11"/>
      <c r="J928" s="11"/>
      <c r="K928" s="11"/>
      <c r="L928" s="15"/>
      <c r="M928" s="15"/>
      <c r="N928" s="15"/>
      <c r="O928" s="15"/>
      <c r="P928" s="15"/>
      <c r="Q928" s="11"/>
      <c r="R928" s="11"/>
      <c r="S928" s="11"/>
      <c r="T928" s="11"/>
      <c r="U928" s="15"/>
      <c r="V928" s="11"/>
      <c r="W928" s="11"/>
      <c r="X928" s="11"/>
      <c r="Y928" s="11"/>
      <c r="Z928" s="11"/>
    </row>
    <row r="929">
      <c r="A929" s="18"/>
      <c r="B929" s="11"/>
      <c r="C929" s="11"/>
      <c r="D929" s="11"/>
      <c r="E929" s="11"/>
      <c r="F929" s="11"/>
      <c r="G929" s="11"/>
      <c r="H929" s="11"/>
      <c r="I929" s="11"/>
      <c r="J929" s="11"/>
      <c r="K929" s="11"/>
      <c r="L929" s="15"/>
      <c r="M929" s="15"/>
      <c r="N929" s="15"/>
      <c r="O929" s="15"/>
      <c r="P929" s="15"/>
      <c r="Q929" s="11"/>
      <c r="R929" s="11"/>
      <c r="S929" s="11"/>
      <c r="T929" s="11"/>
      <c r="U929" s="15"/>
      <c r="V929" s="11"/>
      <c r="W929" s="11"/>
      <c r="X929" s="11"/>
      <c r="Y929" s="11"/>
      <c r="Z929" s="11"/>
    </row>
    <row r="930">
      <c r="A930" s="18"/>
      <c r="B930" s="11"/>
      <c r="C930" s="11"/>
      <c r="D930" s="11"/>
      <c r="E930" s="11"/>
      <c r="F930" s="11"/>
      <c r="G930" s="11"/>
      <c r="H930" s="11"/>
      <c r="I930" s="11"/>
      <c r="J930" s="11"/>
      <c r="K930" s="11"/>
      <c r="L930" s="15"/>
      <c r="M930" s="15"/>
      <c r="N930" s="15"/>
      <c r="O930" s="15"/>
      <c r="P930" s="15"/>
      <c r="Q930" s="11"/>
      <c r="R930" s="11"/>
      <c r="S930" s="11"/>
      <c r="T930" s="11"/>
      <c r="U930" s="15"/>
      <c r="V930" s="11"/>
      <c r="W930" s="11"/>
      <c r="X930" s="11"/>
      <c r="Y930" s="11"/>
      <c r="Z930" s="11"/>
    </row>
    <row r="931">
      <c r="A931" s="18"/>
      <c r="B931" s="11"/>
      <c r="C931" s="11"/>
      <c r="D931" s="11"/>
      <c r="E931" s="11"/>
      <c r="F931" s="11"/>
      <c r="G931" s="11"/>
      <c r="H931" s="11"/>
      <c r="I931" s="11"/>
      <c r="J931" s="11"/>
      <c r="K931" s="11"/>
      <c r="L931" s="15"/>
      <c r="M931" s="15"/>
      <c r="N931" s="15"/>
      <c r="O931" s="15"/>
      <c r="P931" s="15"/>
      <c r="Q931" s="11"/>
      <c r="R931" s="11"/>
      <c r="S931" s="11"/>
      <c r="T931" s="11"/>
      <c r="U931" s="15"/>
      <c r="V931" s="11"/>
      <c r="W931" s="11"/>
      <c r="X931" s="11"/>
      <c r="Y931" s="11"/>
      <c r="Z931" s="11"/>
    </row>
    <row r="932">
      <c r="A932" s="18"/>
      <c r="B932" s="11"/>
      <c r="C932" s="11"/>
      <c r="D932" s="11"/>
      <c r="E932" s="11"/>
      <c r="F932" s="11"/>
      <c r="G932" s="11"/>
      <c r="H932" s="11"/>
      <c r="I932" s="11"/>
      <c r="J932" s="11"/>
      <c r="K932" s="11"/>
      <c r="L932" s="15"/>
      <c r="M932" s="15"/>
      <c r="N932" s="15"/>
      <c r="O932" s="15"/>
      <c r="P932" s="15"/>
      <c r="Q932" s="11"/>
      <c r="R932" s="11"/>
      <c r="S932" s="11"/>
      <c r="T932" s="11"/>
      <c r="U932" s="15"/>
      <c r="V932" s="11"/>
      <c r="W932" s="11"/>
      <c r="X932" s="11"/>
      <c r="Y932" s="11"/>
      <c r="Z932" s="11"/>
    </row>
    <row r="933">
      <c r="A933" s="18"/>
      <c r="B933" s="11"/>
      <c r="C933" s="11"/>
      <c r="D933" s="11"/>
      <c r="E933" s="11"/>
      <c r="F933" s="11"/>
      <c r="G933" s="11"/>
      <c r="H933" s="11"/>
      <c r="I933" s="11"/>
      <c r="J933" s="11"/>
      <c r="K933" s="11"/>
      <c r="L933" s="15"/>
      <c r="M933" s="15"/>
      <c r="N933" s="15"/>
      <c r="O933" s="15"/>
      <c r="P933" s="15"/>
      <c r="Q933" s="11"/>
      <c r="R933" s="11"/>
      <c r="S933" s="11"/>
      <c r="T933" s="11"/>
      <c r="U933" s="15"/>
      <c r="V933" s="11"/>
      <c r="W933" s="11"/>
      <c r="X933" s="11"/>
      <c r="Y933" s="11"/>
      <c r="Z933" s="11"/>
    </row>
    <row r="934">
      <c r="A934" s="18"/>
      <c r="B934" s="11"/>
      <c r="C934" s="11"/>
      <c r="D934" s="11"/>
      <c r="E934" s="11"/>
      <c r="F934" s="11"/>
      <c r="G934" s="11"/>
      <c r="H934" s="11"/>
      <c r="I934" s="11"/>
      <c r="J934" s="11"/>
      <c r="K934" s="11"/>
      <c r="L934" s="15"/>
      <c r="M934" s="15"/>
      <c r="N934" s="15"/>
      <c r="O934" s="15"/>
      <c r="P934" s="15"/>
      <c r="Q934" s="11"/>
      <c r="R934" s="11"/>
      <c r="S934" s="11"/>
      <c r="T934" s="11"/>
      <c r="U934" s="15"/>
      <c r="V934" s="11"/>
      <c r="W934" s="11"/>
      <c r="X934" s="11"/>
      <c r="Y934" s="11"/>
      <c r="Z934" s="11"/>
    </row>
    <row r="935">
      <c r="A935" s="18"/>
      <c r="B935" s="11"/>
      <c r="C935" s="11"/>
      <c r="D935" s="11"/>
      <c r="E935" s="11"/>
      <c r="F935" s="11"/>
      <c r="G935" s="11"/>
      <c r="H935" s="11"/>
      <c r="I935" s="11"/>
      <c r="J935" s="11"/>
      <c r="K935" s="11"/>
      <c r="L935" s="15"/>
      <c r="M935" s="15"/>
      <c r="N935" s="15"/>
      <c r="O935" s="15"/>
      <c r="P935" s="15"/>
      <c r="Q935" s="11"/>
      <c r="R935" s="11"/>
      <c r="S935" s="11"/>
      <c r="T935" s="11"/>
      <c r="U935" s="15"/>
      <c r="V935" s="11"/>
      <c r="W935" s="11"/>
      <c r="X935" s="11"/>
      <c r="Y935" s="11"/>
      <c r="Z935" s="11"/>
    </row>
    <row r="936">
      <c r="A936" s="18"/>
      <c r="B936" s="11"/>
      <c r="C936" s="11"/>
      <c r="D936" s="11"/>
      <c r="E936" s="11"/>
      <c r="F936" s="11"/>
      <c r="G936" s="11"/>
      <c r="H936" s="11"/>
      <c r="I936" s="11"/>
      <c r="J936" s="11"/>
      <c r="K936" s="11"/>
      <c r="L936" s="15"/>
      <c r="M936" s="15"/>
      <c r="N936" s="15"/>
      <c r="O936" s="15"/>
      <c r="P936" s="15"/>
      <c r="Q936" s="11"/>
      <c r="R936" s="11"/>
      <c r="S936" s="11"/>
      <c r="T936" s="11"/>
      <c r="U936" s="15"/>
      <c r="V936" s="11"/>
      <c r="W936" s="11"/>
      <c r="X936" s="11"/>
      <c r="Y936" s="11"/>
      <c r="Z936" s="11"/>
    </row>
    <row r="937">
      <c r="A937" s="18"/>
      <c r="B937" s="11"/>
      <c r="C937" s="11"/>
      <c r="D937" s="11"/>
      <c r="E937" s="11"/>
      <c r="F937" s="11"/>
      <c r="G937" s="11"/>
      <c r="H937" s="11"/>
      <c r="I937" s="11"/>
      <c r="J937" s="11"/>
      <c r="K937" s="11"/>
      <c r="L937" s="15"/>
      <c r="M937" s="15"/>
      <c r="N937" s="15"/>
      <c r="O937" s="15"/>
      <c r="P937" s="15"/>
      <c r="Q937" s="11"/>
      <c r="R937" s="11"/>
      <c r="S937" s="11"/>
      <c r="T937" s="11"/>
      <c r="U937" s="15"/>
      <c r="V937" s="11"/>
      <c r="W937" s="11"/>
      <c r="X937" s="11"/>
      <c r="Y937" s="11"/>
      <c r="Z937" s="11"/>
    </row>
    <row r="938">
      <c r="A938" s="18"/>
      <c r="B938" s="11"/>
      <c r="C938" s="11"/>
      <c r="D938" s="11"/>
      <c r="E938" s="11"/>
      <c r="F938" s="11"/>
      <c r="G938" s="11"/>
      <c r="H938" s="11"/>
      <c r="I938" s="11"/>
      <c r="J938" s="11"/>
      <c r="K938" s="11"/>
      <c r="L938" s="15"/>
      <c r="M938" s="15"/>
      <c r="N938" s="15"/>
      <c r="O938" s="15"/>
      <c r="P938" s="15"/>
      <c r="Q938" s="11"/>
      <c r="R938" s="11"/>
      <c r="S938" s="11"/>
      <c r="T938" s="11"/>
      <c r="U938" s="15"/>
      <c r="V938" s="11"/>
      <c r="W938" s="11"/>
      <c r="X938" s="11"/>
      <c r="Y938" s="11"/>
      <c r="Z938" s="11"/>
    </row>
    <row r="939">
      <c r="A939" s="18"/>
      <c r="B939" s="11"/>
      <c r="C939" s="11"/>
      <c r="D939" s="11"/>
      <c r="E939" s="11"/>
      <c r="F939" s="11"/>
      <c r="G939" s="11"/>
      <c r="H939" s="11"/>
      <c r="I939" s="11"/>
      <c r="J939" s="11"/>
      <c r="K939" s="11"/>
      <c r="L939" s="15"/>
      <c r="M939" s="15"/>
      <c r="N939" s="15"/>
      <c r="O939" s="15"/>
      <c r="P939" s="15"/>
      <c r="Q939" s="11"/>
      <c r="R939" s="11"/>
      <c r="S939" s="11"/>
      <c r="T939" s="11"/>
      <c r="U939" s="15"/>
      <c r="V939" s="11"/>
      <c r="W939" s="11"/>
      <c r="X939" s="11"/>
      <c r="Y939" s="11"/>
      <c r="Z939" s="11"/>
    </row>
    <row r="940">
      <c r="A940" s="18"/>
      <c r="B940" s="11"/>
      <c r="C940" s="11"/>
      <c r="D940" s="11"/>
      <c r="E940" s="11"/>
      <c r="F940" s="11"/>
      <c r="G940" s="11"/>
      <c r="H940" s="11"/>
      <c r="I940" s="11"/>
      <c r="J940" s="11"/>
      <c r="K940" s="11"/>
      <c r="L940" s="15"/>
      <c r="M940" s="15"/>
      <c r="N940" s="15"/>
      <c r="O940" s="15"/>
      <c r="P940" s="15"/>
      <c r="Q940" s="11"/>
      <c r="R940" s="11"/>
      <c r="S940" s="11"/>
      <c r="T940" s="11"/>
      <c r="U940" s="15"/>
      <c r="V940" s="11"/>
      <c r="W940" s="11"/>
      <c r="X940" s="11"/>
      <c r="Y940" s="11"/>
      <c r="Z940" s="11"/>
    </row>
    <row r="941">
      <c r="A941" s="18"/>
      <c r="B941" s="11"/>
      <c r="C941" s="11"/>
      <c r="D941" s="11"/>
      <c r="E941" s="11"/>
      <c r="F941" s="11"/>
      <c r="G941" s="11"/>
      <c r="H941" s="11"/>
      <c r="I941" s="11"/>
      <c r="J941" s="11"/>
      <c r="K941" s="11"/>
      <c r="L941" s="15"/>
      <c r="M941" s="15"/>
      <c r="N941" s="15"/>
      <c r="O941" s="15"/>
      <c r="P941" s="15"/>
      <c r="Q941" s="11"/>
      <c r="R941" s="11"/>
      <c r="S941" s="11"/>
      <c r="T941" s="11"/>
      <c r="U941" s="15"/>
      <c r="V941" s="11"/>
      <c r="W941" s="11"/>
      <c r="X941" s="11"/>
      <c r="Y941" s="11"/>
      <c r="Z941" s="11"/>
    </row>
    <row r="942">
      <c r="A942" s="18"/>
      <c r="B942" s="11"/>
      <c r="C942" s="11"/>
      <c r="D942" s="11"/>
      <c r="E942" s="11"/>
      <c r="F942" s="11"/>
      <c r="G942" s="11"/>
      <c r="H942" s="11"/>
      <c r="I942" s="11"/>
      <c r="J942" s="11"/>
      <c r="K942" s="11"/>
      <c r="L942" s="15"/>
      <c r="M942" s="15"/>
      <c r="N942" s="15"/>
      <c r="O942" s="15"/>
      <c r="P942" s="15"/>
      <c r="Q942" s="11"/>
      <c r="R942" s="11"/>
      <c r="S942" s="11"/>
      <c r="T942" s="11"/>
      <c r="U942" s="15"/>
      <c r="V942" s="11"/>
      <c r="W942" s="11"/>
      <c r="X942" s="11"/>
      <c r="Y942" s="11"/>
      <c r="Z942" s="11"/>
    </row>
    <row r="943">
      <c r="A943" s="18"/>
      <c r="B943" s="11"/>
      <c r="C943" s="11"/>
      <c r="D943" s="11"/>
      <c r="E943" s="11"/>
      <c r="F943" s="11"/>
      <c r="G943" s="11"/>
      <c r="H943" s="11"/>
      <c r="I943" s="11"/>
      <c r="J943" s="11"/>
      <c r="K943" s="11"/>
      <c r="L943" s="15"/>
      <c r="M943" s="15"/>
      <c r="N943" s="15"/>
      <c r="O943" s="15"/>
      <c r="P943" s="15"/>
      <c r="Q943" s="11"/>
      <c r="R943" s="11"/>
      <c r="S943" s="11"/>
      <c r="T943" s="11"/>
      <c r="U943" s="15"/>
      <c r="V943" s="11"/>
      <c r="W943" s="11"/>
      <c r="X943" s="11"/>
      <c r="Y943" s="11"/>
      <c r="Z943" s="11"/>
    </row>
    <row r="944">
      <c r="A944" s="18"/>
      <c r="B944" s="11"/>
      <c r="C944" s="11"/>
      <c r="D944" s="11"/>
      <c r="E944" s="11"/>
      <c r="F944" s="11"/>
      <c r="G944" s="11"/>
      <c r="H944" s="11"/>
      <c r="I944" s="11"/>
      <c r="J944" s="11"/>
      <c r="K944" s="11"/>
      <c r="L944" s="15"/>
      <c r="M944" s="15"/>
      <c r="N944" s="15"/>
      <c r="O944" s="15"/>
      <c r="P944" s="15"/>
      <c r="Q944" s="11"/>
      <c r="R944" s="11"/>
      <c r="S944" s="11"/>
      <c r="T944" s="11"/>
      <c r="U944" s="15"/>
      <c r="V944" s="11"/>
      <c r="W944" s="11"/>
      <c r="X944" s="11"/>
      <c r="Y944" s="11"/>
      <c r="Z944" s="11"/>
    </row>
    <row r="945">
      <c r="A945" s="18"/>
      <c r="B945" s="11"/>
      <c r="C945" s="11"/>
      <c r="D945" s="11"/>
      <c r="E945" s="11"/>
      <c r="F945" s="11"/>
      <c r="G945" s="11"/>
      <c r="H945" s="11"/>
      <c r="I945" s="11"/>
      <c r="J945" s="11"/>
      <c r="K945" s="11"/>
      <c r="L945" s="15"/>
      <c r="M945" s="15"/>
      <c r="N945" s="15"/>
      <c r="O945" s="15"/>
      <c r="P945" s="15"/>
      <c r="Q945" s="11"/>
      <c r="R945" s="11"/>
      <c r="S945" s="11"/>
      <c r="T945" s="11"/>
      <c r="U945" s="15"/>
      <c r="V945" s="11"/>
      <c r="W945" s="11"/>
      <c r="X945" s="11"/>
      <c r="Y945" s="11"/>
      <c r="Z945" s="11"/>
    </row>
    <row r="946">
      <c r="A946" s="18"/>
      <c r="B946" s="11"/>
      <c r="C946" s="11"/>
      <c r="D946" s="11"/>
      <c r="E946" s="11"/>
      <c r="F946" s="11"/>
      <c r="G946" s="11"/>
      <c r="H946" s="11"/>
      <c r="I946" s="11"/>
      <c r="J946" s="11"/>
      <c r="K946" s="11"/>
      <c r="L946" s="15"/>
      <c r="M946" s="15"/>
      <c r="N946" s="15"/>
      <c r="O946" s="15"/>
      <c r="P946" s="15"/>
      <c r="Q946" s="11"/>
      <c r="R946" s="11"/>
      <c r="S946" s="11"/>
      <c r="T946" s="11"/>
      <c r="U946" s="15"/>
      <c r="V946" s="11"/>
      <c r="W946" s="11"/>
      <c r="X946" s="11"/>
      <c r="Y946" s="11"/>
      <c r="Z946" s="11"/>
    </row>
    <row r="947">
      <c r="A947" s="18"/>
      <c r="B947" s="11"/>
      <c r="C947" s="11"/>
      <c r="D947" s="11"/>
      <c r="E947" s="11"/>
      <c r="F947" s="11"/>
      <c r="G947" s="11"/>
      <c r="H947" s="11"/>
      <c r="I947" s="11"/>
      <c r="J947" s="11"/>
      <c r="K947" s="11"/>
      <c r="L947" s="15"/>
      <c r="M947" s="15"/>
      <c r="N947" s="15"/>
      <c r="O947" s="15"/>
      <c r="P947" s="15"/>
      <c r="Q947" s="11"/>
      <c r="R947" s="11"/>
      <c r="S947" s="11"/>
      <c r="T947" s="11"/>
      <c r="U947" s="15"/>
      <c r="V947" s="11"/>
      <c r="W947" s="11"/>
      <c r="X947" s="11"/>
      <c r="Y947" s="11"/>
      <c r="Z947" s="11"/>
    </row>
    <row r="948">
      <c r="A948" s="18"/>
      <c r="B948" s="11"/>
      <c r="C948" s="11"/>
      <c r="D948" s="11"/>
      <c r="E948" s="11"/>
      <c r="F948" s="11"/>
      <c r="G948" s="11"/>
      <c r="H948" s="11"/>
      <c r="I948" s="11"/>
      <c r="J948" s="11"/>
      <c r="K948" s="11"/>
      <c r="L948" s="15"/>
      <c r="M948" s="15"/>
      <c r="N948" s="15"/>
      <c r="O948" s="15"/>
      <c r="P948" s="15"/>
      <c r="Q948" s="11"/>
      <c r="R948" s="11"/>
      <c r="S948" s="11"/>
      <c r="T948" s="11"/>
      <c r="U948" s="15"/>
      <c r="V948" s="11"/>
      <c r="W948" s="11"/>
      <c r="X948" s="11"/>
      <c r="Y948" s="11"/>
      <c r="Z948" s="11"/>
    </row>
    <row r="949">
      <c r="A949" s="18"/>
      <c r="B949" s="11"/>
      <c r="C949" s="11"/>
      <c r="D949" s="11"/>
      <c r="E949" s="11"/>
      <c r="F949" s="11"/>
      <c r="G949" s="11"/>
      <c r="H949" s="11"/>
      <c r="I949" s="11"/>
      <c r="J949" s="11"/>
      <c r="K949" s="11"/>
      <c r="L949" s="15"/>
      <c r="M949" s="15"/>
      <c r="N949" s="15"/>
      <c r="O949" s="15"/>
      <c r="P949" s="15"/>
      <c r="Q949" s="11"/>
      <c r="R949" s="11"/>
      <c r="S949" s="11"/>
      <c r="T949" s="11"/>
      <c r="U949" s="15"/>
      <c r="V949" s="11"/>
      <c r="W949" s="11"/>
      <c r="X949" s="11"/>
      <c r="Y949" s="11"/>
      <c r="Z949" s="11"/>
    </row>
    <row r="950">
      <c r="A950" s="18"/>
      <c r="B950" s="11"/>
      <c r="C950" s="11"/>
      <c r="D950" s="11"/>
      <c r="E950" s="11"/>
      <c r="F950" s="11"/>
      <c r="G950" s="11"/>
      <c r="H950" s="11"/>
      <c r="I950" s="11"/>
      <c r="J950" s="11"/>
      <c r="K950" s="11"/>
      <c r="L950" s="15"/>
      <c r="M950" s="15"/>
      <c r="N950" s="15"/>
      <c r="O950" s="15"/>
      <c r="P950" s="15"/>
      <c r="Q950" s="11"/>
      <c r="R950" s="11"/>
      <c r="S950" s="11"/>
      <c r="T950" s="11"/>
      <c r="U950" s="15"/>
      <c r="V950" s="11"/>
      <c r="W950" s="11"/>
      <c r="X950" s="11"/>
      <c r="Y950" s="11"/>
      <c r="Z950" s="11"/>
    </row>
    <row r="951">
      <c r="A951" s="18"/>
      <c r="B951" s="11"/>
      <c r="C951" s="11"/>
      <c r="D951" s="11"/>
      <c r="E951" s="11"/>
      <c r="F951" s="11"/>
      <c r="G951" s="11"/>
      <c r="H951" s="11"/>
      <c r="I951" s="11"/>
      <c r="J951" s="11"/>
      <c r="K951" s="11"/>
      <c r="L951" s="15"/>
      <c r="M951" s="15"/>
      <c r="N951" s="15"/>
      <c r="O951" s="15"/>
      <c r="P951" s="15"/>
      <c r="Q951" s="11"/>
      <c r="R951" s="11"/>
      <c r="S951" s="11"/>
      <c r="T951" s="11"/>
      <c r="U951" s="15"/>
      <c r="V951" s="11"/>
      <c r="W951" s="11"/>
      <c r="X951" s="11"/>
      <c r="Y951" s="11"/>
      <c r="Z951" s="11"/>
    </row>
    <row r="952">
      <c r="A952" s="18"/>
      <c r="B952" s="11"/>
      <c r="C952" s="11"/>
      <c r="D952" s="11"/>
      <c r="E952" s="11"/>
      <c r="F952" s="11"/>
      <c r="G952" s="11"/>
      <c r="H952" s="11"/>
      <c r="I952" s="11"/>
      <c r="J952" s="11"/>
      <c r="K952" s="11"/>
      <c r="L952" s="15"/>
      <c r="M952" s="15"/>
      <c r="N952" s="15"/>
      <c r="O952" s="15"/>
      <c r="P952" s="15"/>
      <c r="Q952" s="11"/>
      <c r="R952" s="11"/>
      <c r="S952" s="11"/>
      <c r="T952" s="11"/>
      <c r="U952" s="15"/>
      <c r="V952" s="11"/>
      <c r="W952" s="11"/>
      <c r="X952" s="11"/>
      <c r="Y952" s="11"/>
      <c r="Z952" s="11"/>
    </row>
    <row r="953">
      <c r="A953" s="18"/>
      <c r="B953" s="11"/>
      <c r="C953" s="11"/>
      <c r="D953" s="11"/>
      <c r="E953" s="11"/>
      <c r="F953" s="11"/>
      <c r="G953" s="11"/>
      <c r="H953" s="11"/>
      <c r="I953" s="11"/>
      <c r="J953" s="11"/>
      <c r="K953" s="11"/>
      <c r="L953" s="15"/>
      <c r="M953" s="15"/>
      <c r="N953" s="15"/>
      <c r="O953" s="15"/>
      <c r="P953" s="15"/>
      <c r="Q953" s="11"/>
      <c r="R953" s="11"/>
      <c r="S953" s="11"/>
      <c r="T953" s="11"/>
      <c r="U953" s="15"/>
      <c r="V953" s="11"/>
      <c r="W953" s="11"/>
      <c r="X953" s="11"/>
      <c r="Y953" s="11"/>
      <c r="Z953" s="11"/>
    </row>
    <row r="954">
      <c r="A954" s="18"/>
      <c r="B954" s="11"/>
      <c r="C954" s="11"/>
      <c r="D954" s="11"/>
      <c r="E954" s="11"/>
      <c r="F954" s="11"/>
      <c r="G954" s="11"/>
      <c r="H954" s="11"/>
      <c r="I954" s="11"/>
      <c r="J954" s="11"/>
      <c r="K954" s="11"/>
      <c r="L954" s="15"/>
      <c r="M954" s="15"/>
      <c r="N954" s="15"/>
      <c r="O954" s="15"/>
      <c r="P954" s="15"/>
      <c r="Q954" s="11"/>
      <c r="R954" s="11"/>
      <c r="S954" s="11"/>
      <c r="T954" s="11"/>
      <c r="U954" s="15"/>
      <c r="V954" s="11"/>
      <c r="W954" s="11"/>
      <c r="X954" s="11"/>
      <c r="Y954" s="11"/>
      <c r="Z954" s="11"/>
    </row>
    <row r="955">
      <c r="A955" s="18"/>
      <c r="B955" s="11"/>
      <c r="C955" s="11"/>
      <c r="D955" s="11"/>
      <c r="E955" s="11"/>
      <c r="F955" s="11"/>
      <c r="G955" s="11"/>
      <c r="H955" s="11"/>
      <c r="I955" s="11"/>
      <c r="J955" s="11"/>
      <c r="K955" s="11"/>
      <c r="L955" s="15"/>
      <c r="M955" s="15"/>
      <c r="N955" s="15"/>
      <c r="O955" s="15"/>
      <c r="P955" s="15"/>
      <c r="Q955" s="11"/>
      <c r="R955" s="11"/>
      <c r="S955" s="11"/>
      <c r="T955" s="11"/>
      <c r="U955" s="15"/>
      <c r="V955" s="11"/>
      <c r="W955" s="11"/>
      <c r="X955" s="11"/>
      <c r="Y955" s="11"/>
      <c r="Z955" s="11"/>
    </row>
    <row r="956">
      <c r="A956" s="18"/>
      <c r="B956" s="11"/>
      <c r="C956" s="11"/>
      <c r="D956" s="11"/>
      <c r="E956" s="11"/>
      <c r="F956" s="11"/>
      <c r="G956" s="11"/>
      <c r="H956" s="11"/>
      <c r="I956" s="11"/>
      <c r="J956" s="11"/>
      <c r="K956" s="11"/>
      <c r="L956" s="15"/>
      <c r="M956" s="15"/>
      <c r="N956" s="15"/>
      <c r="O956" s="15"/>
      <c r="P956" s="15"/>
      <c r="Q956" s="11"/>
      <c r="R956" s="11"/>
      <c r="S956" s="11"/>
      <c r="T956" s="11"/>
      <c r="U956" s="15"/>
      <c r="V956" s="11"/>
      <c r="W956" s="11"/>
      <c r="X956" s="11"/>
      <c r="Y956" s="11"/>
      <c r="Z956" s="11"/>
    </row>
    <row r="957">
      <c r="A957" s="18"/>
      <c r="B957" s="11"/>
      <c r="C957" s="11"/>
      <c r="D957" s="11"/>
      <c r="E957" s="11"/>
      <c r="F957" s="11"/>
      <c r="G957" s="11"/>
      <c r="H957" s="11"/>
      <c r="I957" s="11"/>
      <c r="J957" s="11"/>
      <c r="K957" s="11"/>
      <c r="L957" s="15"/>
      <c r="M957" s="15"/>
      <c r="N957" s="15"/>
      <c r="O957" s="15"/>
      <c r="P957" s="15"/>
      <c r="Q957" s="11"/>
      <c r="R957" s="11"/>
      <c r="S957" s="11"/>
      <c r="T957" s="11"/>
      <c r="U957" s="15"/>
      <c r="V957" s="11"/>
      <c r="W957" s="11"/>
      <c r="X957" s="11"/>
      <c r="Y957" s="11"/>
      <c r="Z957" s="11"/>
    </row>
    <row r="958">
      <c r="A958" s="18"/>
      <c r="B958" s="11"/>
      <c r="C958" s="11"/>
      <c r="D958" s="11"/>
      <c r="E958" s="11"/>
      <c r="F958" s="11"/>
      <c r="G958" s="11"/>
      <c r="H958" s="11"/>
      <c r="I958" s="11"/>
      <c r="J958" s="11"/>
      <c r="K958" s="11"/>
      <c r="L958" s="15"/>
      <c r="M958" s="15"/>
      <c r="N958" s="15"/>
      <c r="O958" s="15"/>
      <c r="P958" s="15"/>
      <c r="Q958" s="11"/>
      <c r="R958" s="11"/>
      <c r="S958" s="11"/>
      <c r="T958" s="11"/>
      <c r="U958" s="15"/>
      <c r="V958" s="11"/>
      <c r="W958" s="11"/>
      <c r="X958" s="11"/>
      <c r="Y958" s="11"/>
      <c r="Z958" s="11"/>
    </row>
    <row r="959">
      <c r="A959" s="18"/>
      <c r="B959" s="11"/>
      <c r="C959" s="11"/>
      <c r="D959" s="11"/>
      <c r="E959" s="11"/>
      <c r="F959" s="11"/>
      <c r="G959" s="11"/>
      <c r="H959" s="11"/>
      <c r="I959" s="11"/>
      <c r="J959" s="11"/>
      <c r="K959" s="11"/>
      <c r="L959" s="15"/>
      <c r="M959" s="15"/>
      <c r="N959" s="15"/>
      <c r="O959" s="15"/>
      <c r="P959" s="15"/>
      <c r="Q959" s="11"/>
      <c r="R959" s="11"/>
      <c r="S959" s="11"/>
      <c r="T959" s="11"/>
      <c r="U959" s="15"/>
      <c r="V959" s="11"/>
      <c r="W959" s="11"/>
      <c r="X959" s="11"/>
      <c r="Y959" s="11"/>
      <c r="Z959" s="11"/>
    </row>
    <row r="960">
      <c r="A960" s="18"/>
      <c r="B960" s="11"/>
      <c r="C960" s="11"/>
      <c r="D960" s="11"/>
      <c r="E960" s="11"/>
      <c r="F960" s="11"/>
      <c r="G960" s="11"/>
      <c r="H960" s="11"/>
      <c r="I960" s="11"/>
      <c r="J960" s="11"/>
      <c r="K960" s="11"/>
      <c r="L960" s="15"/>
      <c r="M960" s="15"/>
      <c r="N960" s="15"/>
      <c r="O960" s="15"/>
      <c r="P960" s="15"/>
      <c r="Q960" s="11"/>
      <c r="R960" s="11"/>
      <c r="S960" s="11"/>
      <c r="T960" s="11"/>
      <c r="U960" s="15"/>
      <c r="V960" s="11"/>
      <c r="W960" s="11"/>
      <c r="X960" s="11"/>
      <c r="Y960" s="11"/>
      <c r="Z960" s="11"/>
    </row>
    <row r="961">
      <c r="A961" s="18"/>
      <c r="B961" s="11"/>
      <c r="C961" s="11"/>
      <c r="D961" s="11"/>
      <c r="E961" s="11"/>
      <c r="F961" s="11"/>
      <c r="G961" s="11"/>
      <c r="H961" s="11"/>
      <c r="I961" s="11"/>
      <c r="J961" s="11"/>
      <c r="K961" s="11"/>
      <c r="L961" s="15"/>
      <c r="M961" s="15"/>
      <c r="N961" s="15"/>
      <c r="O961" s="15"/>
      <c r="P961" s="15"/>
      <c r="Q961" s="11"/>
      <c r="R961" s="11"/>
      <c r="S961" s="11"/>
      <c r="T961" s="11"/>
      <c r="U961" s="15"/>
      <c r="V961" s="11"/>
      <c r="W961" s="11"/>
      <c r="X961" s="11"/>
      <c r="Y961" s="11"/>
      <c r="Z961" s="11"/>
    </row>
    <row r="962">
      <c r="A962" s="18"/>
      <c r="B962" s="11"/>
      <c r="C962" s="11"/>
      <c r="D962" s="11"/>
      <c r="E962" s="11"/>
      <c r="F962" s="11"/>
      <c r="G962" s="11"/>
      <c r="H962" s="11"/>
      <c r="I962" s="11"/>
      <c r="J962" s="11"/>
      <c r="K962" s="11"/>
      <c r="L962" s="15"/>
      <c r="M962" s="15"/>
      <c r="N962" s="15"/>
      <c r="O962" s="15"/>
      <c r="P962" s="15"/>
      <c r="Q962" s="11"/>
      <c r="R962" s="11"/>
      <c r="S962" s="11"/>
      <c r="T962" s="11"/>
      <c r="U962" s="15"/>
      <c r="V962" s="11"/>
      <c r="W962" s="11"/>
      <c r="X962" s="11"/>
      <c r="Y962" s="11"/>
      <c r="Z962" s="11"/>
    </row>
    <row r="963">
      <c r="A963" s="18"/>
      <c r="B963" s="11"/>
      <c r="C963" s="11"/>
      <c r="D963" s="11"/>
      <c r="E963" s="11"/>
      <c r="F963" s="11"/>
      <c r="G963" s="11"/>
      <c r="H963" s="11"/>
      <c r="I963" s="11"/>
      <c r="J963" s="11"/>
      <c r="K963" s="11"/>
      <c r="L963" s="15"/>
      <c r="M963" s="15"/>
      <c r="N963" s="15"/>
      <c r="O963" s="15"/>
      <c r="P963" s="15"/>
      <c r="Q963" s="11"/>
      <c r="R963" s="11"/>
      <c r="S963" s="11"/>
      <c r="T963" s="11"/>
      <c r="U963" s="15"/>
      <c r="V963" s="11"/>
      <c r="W963" s="11"/>
      <c r="X963" s="11"/>
      <c r="Y963" s="11"/>
      <c r="Z963" s="11"/>
    </row>
    <row r="964">
      <c r="A964" s="18"/>
      <c r="B964" s="11"/>
      <c r="C964" s="11"/>
      <c r="D964" s="11"/>
      <c r="E964" s="11"/>
      <c r="F964" s="11"/>
      <c r="G964" s="11"/>
      <c r="H964" s="11"/>
      <c r="I964" s="11"/>
      <c r="J964" s="11"/>
      <c r="K964" s="11"/>
      <c r="L964" s="15"/>
      <c r="M964" s="15"/>
      <c r="N964" s="15"/>
      <c r="O964" s="15"/>
      <c r="P964" s="15"/>
      <c r="Q964" s="11"/>
      <c r="R964" s="11"/>
      <c r="S964" s="11"/>
      <c r="T964" s="11"/>
      <c r="U964" s="15"/>
      <c r="V964" s="11"/>
      <c r="W964" s="11"/>
      <c r="X964" s="11"/>
      <c r="Y964" s="11"/>
      <c r="Z964" s="11"/>
    </row>
    <row r="965">
      <c r="A965" s="18"/>
      <c r="B965" s="11"/>
      <c r="C965" s="11"/>
      <c r="D965" s="11"/>
      <c r="E965" s="11"/>
      <c r="F965" s="11"/>
      <c r="G965" s="11"/>
      <c r="H965" s="11"/>
      <c r="I965" s="11"/>
      <c r="J965" s="11"/>
      <c r="K965" s="11"/>
      <c r="L965" s="15"/>
      <c r="M965" s="15"/>
      <c r="N965" s="15"/>
      <c r="O965" s="15"/>
      <c r="P965" s="15"/>
      <c r="Q965" s="11"/>
      <c r="R965" s="11"/>
      <c r="S965" s="11"/>
      <c r="T965" s="11"/>
      <c r="U965" s="15"/>
      <c r="V965" s="11"/>
      <c r="W965" s="11"/>
      <c r="X965" s="11"/>
      <c r="Y965" s="11"/>
      <c r="Z965" s="11"/>
    </row>
    <row r="966">
      <c r="A966" s="18"/>
      <c r="B966" s="11"/>
      <c r="C966" s="11"/>
      <c r="D966" s="11"/>
      <c r="E966" s="11"/>
      <c r="F966" s="11"/>
      <c r="G966" s="11"/>
      <c r="H966" s="11"/>
      <c r="I966" s="11"/>
      <c r="J966" s="11"/>
      <c r="K966" s="11"/>
      <c r="L966" s="15"/>
      <c r="M966" s="15"/>
      <c r="N966" s="15"/>
      <c r="O966" s="15"/>
      <c r="P966" s="15"/>
      <c r="Q966" s="11"/>
      <c r="R966" s="11"/>
      <c r="S966" s="11"/>
      <c r="T966" s="11"/>
      <c r="U966" s="15"/>
      <c r="V966" s="11"/>
      <c r="W966" s="11"/>
      <c r="X966" s="11"/>
      <c r="Y966" s="11"/>
      <c r="Z966" s="11"/>
    </row>
    <row r="967">
      <c r="A967" s="18"/>
      <c r="B967" s="11"/>
      <c r="C967" s="11"/>
      <c r="D967" s="11"/>
      <c r="E967" s="11"/>
      <c r="F967" s="11"/>
      <c r="G967" s="11"/>
      <c r="H967" s="11"/>
      <c r="I967" s="11"/>
      <c r="J967" s="11"/>
      <c r="K967" s="11"/>
      <c r="L967" s="15"/>
      <c r="M967" s="15"/>
      <c r="N967" s="15"/>
      <c r="O967" s="15"/>
      <c r="P967" s="15"/>
      <c r="Q967" s="11"/>
      <c r="R967" s="11"/>
      <c r="S967" s="11"/>
      <c r="T967" s="11"/>
      <c r="U967" s="15"/>
      <c r="V967" s="11"/>
      <c r="W967" s="11"/>
      <c r="X967" s="11"/>
      <c r="Y967" s="11"/>
      <c r="Z967" s="11"/>
    </row>
    <row r="968">
      <c r="A968" s="18"/>
      <c r="B968" s="11"/>
      <c r="C968" s="11"/>
      <c r="D968" s="11"/>
      <c r="E968" s="11"/>
      <c r="F968" s="11"/>
      <c r="G968" s="11"/>
      <c r="H968" s="11"/>
      <c r="I968" s="11"/>
      <c r="J968" s="11"/>
      <c r="K968" s="11"/>
      <c r="L968" s="15"/>
      <c r="M968" s="15"/>
      <c r="N968" s="15"/>
      <c r="O968" s="15"/>
      <c r="P968" s="15"/>
      <c r="Q968" s="11"/>
      <c r="R968" s="11"/>
      <c r="S968" s="11"/>
      <c r="T968" s="11"/>
      <c r="U968" s="15"/>
      <c r="V968" s="11"/>
      <c r="W968" s="11"/>
      <c r="X968" s="11"/>
      <c r="Y968" s="11"/>
      <c r="Z968" s="11"/>
    </row>
    <row r="969">
      <c r="A969" s="18"/>
      <c r="B969" s="11"/>
      <c r="C969" s="11"/>
      <c r="D969" s="11"/>
      <c r="E969" s="11"/>
      <c r="F969" s="11"/>
      <c r="G969" s="11"/>
      <c r="H969" s="11"/>
      <c r="I969" s="11"/>
      <c r="J969" s="11"/>
      <c r="K969" s="11"/>
      <c r="L969" s="15"/>
      <c r="M969" s="15"/>
      <c r="N969" s="15"/>
      <c r="O969" s="15"/>
      <c r="P969" s="15"/>
      <c r="Q969" s="11"/>
      <c r="R969" s="11"/>
      <c r="S969" s="11"/>
      <c r="T969" s="11"/>
      <c r="U969" s="15"/>
      <c r="V969" s="11"/>
      <c r="W969" s="11"/>
      <c r="X969" s="11"/>
      <c r="Y969" s="11"/>
      <c r="Z969" s="11"/>
    </row>
    <row r="970">
      <c r="A970" s="18"/>
      <c r="B970" s="11"/>
      <c r="C970" s="11"/>
      <c r="D970" s="11"/>
      <c r="E970" s="11"/>
      <c r="F970" s="11"/>
      <c r="G970" s="11"/>
      <c r="H970" s="11"/>
      <c r="I970" s="11"/>
      <c r="J970" s="11"/>
      <c r="K970" s="11"/>
      <c r="L970" s="15"/>
      <c r="M970" s="15"/>
      <c r="N970" s="15"/>
      <c r="O970" s="15"/>
      <c r="P970" s="15"/>
      <c r="Q970" s="11"/>
      <c r="R970" s="11"/>
      <c r="S970" s="11"/>
      <c r="T970" s="11"/>
      <c r="U970" s="15"/>
      <c r="V970" s="11"/>
      <c r="W970" s="11"/>
      <c r="X970" s="11"/>
      <c r="Y970" s="11"/>
      <c r="Z970" s="11"/>
    </row>
    <row r="971">
      <c r="A971" s="18"/>
      <c r="B971" s="11"/>
      <c r="C971" s="11"/>
      <c r="D971" s="11"/>
      <c r="E971" s="11"/>
      <c r="F971" s="11"/>
      <c r="G971" s="11"/>
      <c r="H971" s="11"/>
      <c r="I971" s="11"/>
      <c r="J971" s="11"/>
      <c r="K971" s="11"/>
      <c r="L971" s="15"/>
      <c r="M971" s="15"/>
      <c r="N971" s="15"/>
      <c r="O971" s="15"/>
      <c r="P971" s="15"/>
      <c r="Q971" s="11"/>
      <c r="R971" s="11"/>
      <c r="S971" s="11"/>
      <c r="T971" s="11"/>
      <c r="U971" s="15"/>
      <c r="V971" s="11"/>
      <c r="W971" s="11"/>
      <c r="X971" s="11"/>
      <c r="Y971" s="11"/>
      <c r="Z971" s="11"/>
    </row>
    <row r="972">
      <c r="A972" s="18"/>
      <c r="B972" s="11"/>
      <c r="C972" s="11"/>
      <c r="D972" s="11"/>
      <c r="E972" s="11"/>
      <c r="F972" s="11"/>
      <c r="G972" s="11"/>
      <c r="H972" s="11"/>
      <c r="I972" s="11"/>
      <c r="J972" s="11"/>
      <c r="K972" s="11"/>
      <c r="L972" s="15"/>
      <c r="M972" s="15"/>
      <c r="N972" s="15"/>
      <c r="O972" s="15"/>
      <c r="P972" s="15"/>
      <c r="Q972" s="11"/>
      <c r="R972" s="11"/>
      <c r="S972" s="11"/>
      <c r="T972" s="11"/>
      <c r="U972" s="15"/>
      <c r="V972" s="11"/>
      <c r="W972" s="11"/>
      <c r="X972" s="11"/>
      <c r="Y972" s="11"/>
      <c r="Z972" s="11"/>
    </row>
    <row r="973">
      <c r="A973" s="18"/>
      <c r="B973" s="11"/>
      <c r="C973" s="11"/>
      <c r="D973" s="11"/>
      <c r="E973" s="11"/>
      <c r="F973" s="11"/>
      <c r="G973" s="11"/>
      <c r="H973" s="11"/>
      <c r="I973" s="11"/>
      <c r="J973" s="11"/>
      <c r="K973" s="11"/>
      <c r="L973" s="15"/>
      <c r="M973" s="15"/>
      <c r="N973" s="15"/>
      <c r="O973" s="15"/>
      <c r="P973" s="15"/>
      <c r="Q973" s="11"/>
      <c r="R973" s="11"/>
      <c r="S973" s="11"/>
      <c r="T973" s="11"/>
      <c r="U973" s="15"/>
      <c r="V973" s="11"/>
      <c r="W973" s="11"/>
      <c r="X973" s="11"/>
      <c r="Y973" s="11"/>
      <c r="Z973" s="11"/>
    </row>
    <row r="974">
      <c r="A974" s="18"/>
      <c r="B974" s="11"/>
      <c r="C974" s="11"/>
      <c r="D974" s="11"/>
      <c r="E974" s="11"/>
      <c r="F974" s="11"/>
      <c r="G974" s="11"/>
      <c r="H974" s="11"/>
      <c r="I974" s="11"/>
      <c r="J974" s="11"/>
      <c r="K974" s="11"/>
      <c r="L974" s="15"/>
      <c r="M974" s="15"/>
      <c r="N974" s="15"/>
      <c r="O974" s="15"/>
      <c r="P974" s="15"/>
      <c r="Q974" s="11"/>
      <c r="R974" s="11"/>
      <c r="S974" s="11"/>
      <c r="T974" s="11"/>
      <c r="U974" s="15"/>
      <c r="V974" s="11"/>
      <c r="W974" s="11"/>
      <c r="X974" s="11"/>
      <c r="Y974" s="11"/>
      <c r="Z974" s="11"/>
    </row>
    <row r="975">
      <c r="A975" s="18"/>
      <c r="B975" s="11"/>
      <c r="C975" s="11"/>
      <c r="D975" s="11"/>
      <c r="E975" s="11"/>
      <c r="F975" s="11"/>
      <c r="G975" s="11"/>
      <c r="H975" s="11"/>
      <c r="I975" s="11"/>
      <c r="J975" s="11"/>
      <c r="K975" s="11"/>
      <c r="L975" s="15"/>
      <c r="M975" s="15"/>
      <c r="N975" s="15"/>
      <c r="O975" s="15"/>
      <c r="P975" s="15"/>
      <c r="Q975" s="11"/>
      <c r="R975" s="11"/>
      <c r="S975" s="11"/>
      <c r="T975" s="11"/>
      <c r="U975" s="15"/>
      <c r="V975" s="11"/>
      <c r="W975" s="11"/>
      <c r="X975" s="11"/>
      <c r="Y975" s="11"/>
      <c r="Z975" s="11"/>
    </row>
    <row r="976">
      <c r="A976" s="18"/>
      <c r="B976" s="11"/>
      <c r="C976" s="11"/>
      <c r="D976" s="11"/>
      <c r="E976" s="11"/>
      <c r="F976" s="11"/>
      <c r="G976" s="11"/>
      <c r="H976" s="11"/>
      <c r="I976" s="11"/>
      <c r="J976" s="11"/>
      <c r="K976" s="11"/>
      <c r="L976" s="15"/>
      <c r="M976" s="15"/>
      <c r="N976" s="15"/>
      <c r="O976" s="15"/>
      <c r="P976" s="15"/>
      <c r="Q976" s="11"/>
      <c r="R976" s="11"/>
      <c r="S976" s="11"/>
      <c r="T976" s="11"/>
      <c r="U976" s="15"/>
      <c r="V976" s="11"/>
      <c r="W976" s="11"/>
      <c r="X976" s="11"/>
      <c r="Y976" s="11"/>
      <c r="Z976" s="11"/>
    </row>
    <row r="977">
      <c r="A977" s="18"/>
      <c r="B977" s="11"/>
      <c r="C977" s="11"/>
      <c r="D977" s="11"/>
      <c r="E977" s="11"/>
      <c r="F977" s="11"/>
      <c r="G977" s="11"/>
      <c r="H977" s="11"/>
      <c r="I977" s="11"/>
      <c r="J977" s="11"/>
      <c r="K977" s="11"/>
      <c r="L977" s="15"/>
      <c r="M977" s="15"/>
      <c r="N977" s="15"/>
      <c r="O977" s="15"/>
      <c r="P977" s="15"/>
      <c r="Q977" s="11"/>
      <c r="R977" s="11"/>
      <c r="S977" s="11"/>
      <c r="T977" s="11"/>
      <c r="U977" s="15"/>
      <c r="V977" s="11"/>
      <c r="W977" s="11"/>
      <c r="X977" s="11"/>
      <c r="Y977" s="11"/>
      <c r="Z977" s="11"/>
    </row>
    <row r="978">
      <c r="A978" s="18"/>
      <c r="B978" s="11"/>
      <c r="C978" s="11"/>
      <c r="D978" s="11"/>
      <c r="E978" s="11"/>
      <c r="F978" s="11"/>
      <c r="G978" s="11"/>
      <c r="H978" s="11"/>
      <c r="I978" s="11"/>
      <c r="J978" s="11"/>
      <c r="K978" s="11"/>
      <c r="L978" s="15"/>
      <c r="M978" s="15"/>
      <c r="N978" s="15"/>
      <c r="O978" s="15"/>
      <c r="P978" s="15"/>
      <c r="Q978" s="11"/>
      <c r="R978" s="11"/>
      <c r="S978" s="11"/>
      <c r="T978" s="11"/>
      <c r="U978" s="15"/>
      <c r="V978" s="11"/>
      <c r="W978" s="11"/>
      <c r="X978" s="11"/>
      <c r="Y978" s="11"/>
      <c r="Z978" s="11"/>
    </row>
    <row r="979">
      <c r="A979" s="18"/>
      <c r="B979" s="11"/>
      <c r="C979" s="11"/>
      <c r="D979" s="11"/>
      <c r="E979" s="11"/>
      <c r="F979" s="11"/>
      <c r="G979" s="11"/>
      <c r="H979" s="11"/>
      <c r="I979" s="11"/>
      <c r="J979" s="11"/>
      <c r="K979" s="11"/>
      <c r="L979" s="15"/>
      <c r="M979" s="15"/>
      <c r="N979" s="15"/>
      <c r="O979" s="15"/>
      <c r="P979" s="15"/>
      <c r="Q979" s="11"/>
      <c r="R979" s="11"/>
      <c r="S979" s="11"/>
      <c r="T979" s="11"/>
      <c r="U979" s="15"/>
      <c r="V979" s="11"/>
      <c r="W979" s="11"/>
      <c r="X979" s="11"/>
      <c r="Y979" s="11"/>
      <c r="Z979" s="11"/>
    </row>
    <row r="980">
      <c r="A980" s="18"/>
      <c r="B980" s="11"/>
      <c r="C980" s="11"/>
      <c r="D980" s="11"/>
      <c r="E980" s="11"/>
      <c r="F980" s="11"/>
      <c r="G980" s="11"/>
      <c r="H980" s="11"/>
      <c r="I980" s="11"/>
      <c r="J980" s="11"/>
      <c r="K980" s="11"/>
      <c r="L980" s="15"/>
      <c r="M980" s="15"/>
      <c r="N980" s="15"/>
      <c r="O980" s="15"/>
      <c r="P980" s="15"/>
      <c r="Q980" s="11"/>
      <c r="R980" s="11"/>
      <c r="S980" s="11"/>
      <c r="T980" s="11"/>
      <c r="U980" s="15"/>
      <c r="V980" s="11"/>
      <c r="W980" s="11"/>
      <c r="X980" s="11"/>
      <c r="Y980" s="11"/>
      <c r="Z980" s="11"/>
    </row>
    <row r="981">
      <c r="A981" s="18"/>
      <c r="B981" s="11"/>
      <c r="C981" s="11"/>
      <c r="D981" s="11"/>
      <c r="E981" s="11"/>
      <c r="F981" s="11"/>
      <c r="G981" s="11"/>
      <c r="H981" s="11"/>
      <c r="I981" s="11"/>
      <c r="J981" s="11"/>
      <c r="K981" s="11"/>
      <c r="L981" s="15"/>
      <c r="M981" s="15"/>
      <c r="N981" s="15"/>
      <c r="O981" s="15"/>
      <c r="P981" s="15"/>
      <c r="Q981" s="11"/>
      <c r="R981" s="11"/>
      <c r="S981" s="11"/>
      <c r="T981" s="11"/>
      <c r="U981" s="15"/>
      <c r="V981" s="11"/>
      <c r="W981" s="11"/>
      <c r="X981" s="11"/>
      <c r="Y981" s="11"/>
      <c r="Z981" s="11"/>
    </row>
    <row r="982">
      <c r="A982" s="18"/>
      <c r="B982" s="11"/>
      <c r="C982" s="11"/>
      <c r="D982" s="11"/>
      <c r="E982" s="11"/>
      <c r="F982" s="11"/>
      <c r="G982" s="11"/>
      <c r="H982" s="11"/>
      <c r="I982" s="11"/>
      <c r="J982" s="11"/>
      <c r="K982" s="11"/>
      <c r="L982" s="15"/>
      <c r="M982" s="15"/>
      <c r="N982" s="15"/>
      <c r="O982" s="15"/>
      <c r="P982" s="15"/>
      <c r="Q982" s="11"/>
      <c r="R982" s="11"/>
      <c r="S982" s="11"/>
      <c r="T982" s="11"/>
      <c r="U982" s="15"/>
      <c r="V982" s="11"/>
      <c r="W982" s="11"/>
      <c r="X982" s="11"/>
      <c r="Y982" s="11"/>
      <c r="Z982" s="11"/>
    </row>
    <row r="983">
      <c r="A983" s="18"/>
      <c r="B983" s="11"/>
      <c r="C983" s="11"/>
      <c r="D983" s="11"/>
      <c r="E983" s="11"/>
      <c r="F983" s="11"/>
      <c r="G983" s="11"/>
      <c r="H983" s="11"/>
      <c r="I983" s="11"/>
      <c r="J983" s="11"/>
      <c r="K983" s="11"/>
      <c r="L983" s="15"/>
      <c r="M983" s="15"/>
      <c r="N983" s="15"/>
      <c r="O983" s="15"/>
      <c r="P983" s="15"/>
      <c r="Q983" s="11"/>
      <c r="R983" s="11"/>
      <c r="S983" s="11"/>
      <c r="T983" s="11"/>
      <c r="U983" s="15"/>
      <c r="V983" s="11"/>
      <c r="W983" s="11"/>
      <c r="X983" s="11"/>
      <c r="Y983" s="11"/>
      <c r="Z983" s="11"/>
    </row>
    <row r="984">
      <c r="A984" s="18"/>
      <c r="B984" s="11"/>
      <c r="C984" s="11"/>
      <c r="D984" s="11"/>
      <c r="E984" s="11"/>
      <c r="F984" s="11"/>
      <c r="G984" s="11"/>
      <c r="H984" s="11"/>
      <c r="I984" s="11"/>
      <c r="J984" s="11"/>
      <c r="K984" s="11"/>
      <c r="L984" s="15"/>
      <c r="M984" s="15"/>
      <c r="N984" s="15"/>
      <c r="O984" s="15"/>
      <c r="P984" s="15"/>
      <c r="Q984" s="11"/>
      <c r="R984" s="11"/>
      <c r="S984" s="11"/>
      <c r="T984" s="11"/>
      <c r="U984" s="15"/>
      <c r="V984" s="11"/>
      <c r="W984" s="11"/>
      <c r="X984" s="11"/>
      <c r="Y984" s="11"/>
      <c r="Z984" s="11"/>
    </row>
    <row r="985">
      <c r="A985" s="18"/>
      <c r="B985" s="11"/>
      <c r="C985" s="11"/>
      <c r="D985" s="11"/>
      <c r="E985" s="11"/>
      <c r="F985" s="11"/>
      <c r="G985" s="11"/>
      <c r="H985" s="11"/>
      <c r="I985" s="11"/>
      <c r="J985" s="11"/>
      <c r="K985" s="11"/>
      <c r="L985" s="15"/>
      <c r="M985" s="15"/>
      <c r="N985" s="15"/>
      <c r="O985" s="15"/>
      <c r="P985" s="15"/>
      <c r="Q985" s="11"/>
      <c r="R985" s="11"/>
      <c r="S985" s="11"/>
      <c r="T985" s="11"/>
      <c r="U985" s="15"/>
      <c r="V985" s="11"/>
      <c r="W985" s="11"/>
      <c r="X985" s="11"/>
      <c r="Y985" s="11"/>
      <c r="Z985" s="11"/>
    </row>
    <row r="986">
      <c r="A986" s="18"/>
      <c r="B986" s="11"/>
      <c r="C986" s="11"/>
      <c r="D986" s="11"/>
      <c r="E986" s="11"/>
      <c r="F986" s="11"/>
      <c r="G986" s="11"/>
      <c r="H986" s="11"/>
      <c r="I986" s="11"/>
      <c r="J986" s="11"/>
      <c r="K986" s="11"/>
      <c r="L986" s="15"/>
      <c r="M986" s="15"/>
      <c r="N986" s="15"/>
      <c r="O986" s="15"/>
      <c r="P986" s="15"/>
      <c r="Q986" s="11"/>
      <c r="R986" s="11"/>
      <c r="S986" s="11"/>
      <c r="T986" s="11"/>
      <c r="U986" s="15"/>
      <c r="V986" s="11"/>
      <c r="W986" s="11"/>
      <c r="X986" s="11"/>
      <c r="Y986" s="11"/>
      <c r="Z986" s="11"/>
    </row>
    <row r="987">
      <c r="A987" s="18"/>
      <c r="B987" s="11"/>
      <c r="C987" s="11"/>
      <c r="D987" s="11"/>
      <c r="E987" s="11"/>
      <c r="F987" s="11"/>
      <c r="G987" s="11"/>
      <c r="H987" s="11"/>
      <c r="I987" s="11"/>
      <c r="J987" s="11"/>
      <c r="K987" s="11"/>
      <c r="L987" s="15"/>
      <c r="M987" s="15"/>
      <c r="N987" s="15"/>
      <c r="O987" s="15"/>
      <c r="P987" s="15"/>
      <c r="Q987" s="11"/>
      <c r="R987" s="11"/>
      <c r="S987" s="11"/>
      <c r="T987" s="11"/>
      <c r="U987" s="15"/>
      <c r="V987" s="11"/>
      <c r="W987" s="11"/>
      <c r="X987" s="11"/>
      <c r="Y987" s="11"/>
      <c r="Z987" s="11"/>
    </row>
    <row r="988">
      <c r="A988" s="18"/>
      <c r="B988" s="11"/>
      <c r="C988" s="11"/>
      <c r="D988" s="11"/>
      <c r="E988" s="11"/>
      <c r="F988" s="11"/>
      <c r="G988" s="11"/>
      <c r="H988" s="11"/>
      <c r="I988" s="11"/>
      <c r="J988" s="11"/>
      <c r="K988" s="11"/>
      <c r="L988" s="15"/>
      <c r="M988" s="15"/>
      <c r="N988" s="15"/>
      <c r="O988" s="15"/>
      <c r="P988" s="15"/>
      <c r="Q988" s="11"/>
      <c r="R988" s="11"/>
      <c r="S988" s="11"/>
      <c r="T988" s="11"/>
      <c r="U988" s="15"/>
      <c r="V988" s="11"/>
      <c r="W988" s="11"/>
      <c r="X988" s="11"/>
      <c r="Y988" s="11"/>
      <c r="Z988" s="11"/>
    </row>
    <row r="989">
      <c r="A989" s="18"/>
      <c r="B989" s="11"/>
      <c r="C989" s="11"/>
      <c r="D989" s="11"/>
      <c r="E989" s="11"/>
      <c r="F989" s="11"/>
      <c r="G989" s="11"/>
      <c r="H989" s="11"/>
      <c r="I989" s="11"/>
      <c r="J989" s="11"/>
      <c r="K989" s="11"/>
      <c r="L989" s="15"/>
      <c r="M989" s="15"/>
      <c r="N989" s="15"/>
      <c r="O989" s="15"/>
      <c r="P989" s="15"/>
      <c r="Q989" s="11"/>
      <c r="R989" s="11"/>
      <c r="S989" s="11"/>
      <c r="T989" s="11"/>
      <c r="U989" s="15"/>
      <c r="V989" s="11"/>
      <c r="W989" s="11"/>
      <c r="X989" s="11"/>
      <c r="Y989" s="11"/>
      <c r="Z989" s="11"/>
    </row>
    <row r="990">
      <c r="A990" s="18"/>
      <c r="B990" s="11"/>
      <c r="C990" s="11"/>
      <c r="D990" s="11"/>
      <c r="E990" s="11"/>
      <c r="F990" s="11"/>
      <c r="G990" s="11"/>
      <c r="H990" s="11"/>
      <c r="I990" s="11"/>
      <c r="J990" s="11"/>
      <c r="K990" s="11"/>
      <c r="L990" s="15"/>
      <c r="M990" s="15"/>
      <c r="N990" s="15"/>
      <c r="O990" s="15"/>
      <c r="P990" s="15"/>
      <c r="Q990" s="11"/>
      <c r="R990" s="11"/>
      <c r="S990" s="11"/>
      <c r="T990" s="11"/>
      <c r="U990" s="15"/>
      <c r="V990" s="11"/>
      <c r="W990" s="11"/>
      <c r="X990" s="11"/>
      <c r="Y990" s="11"/>
      <c r="Z990" s="11"/>
    </row>
    <row r="991">
      <c r="A991" s="18"/>
      <c r="B991" s="11"/>
      <c r="C991" s="11"/>
      <c r="D991" s="11"/>
      <c r="E991" s="11"/>
      <c r="F991" s="11"/>
      <c r="G991" s="11"/>
      <c r="H991" s="11"/>
      <c r="I991" s="11"/>
      <c r="J991" s="11"/>
      <c r="K991" s="11"/>
      <c r="L991" s="15"/>
      <c r="M991" s="15"/>
      <c r="N991" s="15"/>
      <c r="O991" s="15"/>
      <c r="P991" s="15"/>
      <c r="Q991" s="11"/>
      <c r="R991" s="11"/>
      <c r="S991" s="11"/>
      <c r="T991" s="11"/>
      <c r="U991" s="15"/>
      <c r="V991" s="11"/>
      <c r="W991" s="11"/>
      <c r="X991" s="11"/>
      <c r="Y991" s="11"/>
      <c r="Z991" s="11"/>
    </row>
    <row r="992">
      <c r="A992" s="18"/>
      <c r="B992" s="11"/>
      <c r="C992" s="11"/>
      <c r="D992" s="11"/>
      <c r="E992" s="11"/>
      <c r="F992" s="11"/>
      <c r="G992" s="11"/>
      <c r="H992" s="11"/>
      <c r="I992" s="11"/>
      <c r="J992" s="11"/>
      <c r="K992" s="11"/>
      <c r="L992" s="15"/>
      <c r="M992" s="15"/>
      <c r="N992" s="15"/>
      <c r="O992" s="15"/>
      <c r="P992" s="15"/>
      <c r="Q992" s="11"/>
      <c r="R992" s="11"/>
      <c r="S992" s="11"/>
      <c r="T992" s="11"/>
      <c r="U992" s="15"/>
      <c r="V992" s="11"/>
      <c r="W992" s="11"/>
      <c r="X992" s="11"/>
      <c r="Y992" s="11"/>
      <c r="Z992" s="11"/>
    </row>
    <row r="993">
      <c r="A993" s="18"/>
      <c r="B993" s="11"/>
      <c r="C993" s="11"/>
      <c r="D993" s="11"/>
      <c r="E993" s="11"/>
      <c r="F993" s="11"/>
      <c r="G993" s="11"/>
      <c r="H993" s="11"/>
      <c r="I993" s="11"/>
      <c r="J993" s="11"/>
      <c r="K993" s="11"/>
      <c r="L993" s="15"/>
      <c r="M993" s="15"/>
      <c r="N993" s="15"/>
      <c r="O993" s="15"/>
      <c r="P993" s="15"/>
      <c r="Q993" s="11"/>
      <c r="R993" s="11"/>
      <c r="S993" s="11"/>
      <c r="T993" s="11"/>
      <c r="U993" s="15"/>
      <c r="V993" s="11"/>
      <c r="W993" s="11"/>
      <c r="X993" s="11"/>
      <c r="Y993" s="11"/>
      <c r="Z993" s="11"/>
    </row>
    <row r="994">
      <c r="A994" s="18"/>
      <c r="B994" s="11"/>
      <c r="C994" s="11"/>
      <c r="D994" s="11"/>
      <c r="E994" s="11"/>
      <c r="F994" s="11"/>
      <c r="G994" s="11"/>
      <c r="H994" s="11"/>
      <c r="I994" s="11"/>
      <c r="J994" s="11"/>
      <c r="K994" s="11"/>
      <c r="L994" s="15"/>
      <c r="M994" s="15"/>
      <c r="N994" s="15"/>
      <c r="O994" s="15"/>
      <c r="P994" s="15"/>
      <c r="Q994" s="11"/>
      <c r="R994" s="11"/>
      <c r="S994" s="11"/>
      <c r="T994" s="11"/>
      <c r="U994" s="15"/>
      <c r="V994" s="11"/>
      <c r="W994" s="11"/>
      <c r="X994" s="11"/>
      <c r="Y994" s="11"/>
      <c r="Z994" s="11"/>
    </row>
    <row r="995">
      <c r="A995" s="18"/>
      <c r="B995" s="11"/>
      <c r="C995" s="11"/>
      <c r="D995" s="11"/>
      <c r="E995" s="11"/>
      <c r="F995" s="11"/>
      <c r="G995" s="11"/>
      <c r="H995" s="11"/>
      <c r="I995" s="11"/>
      <c r="J995" s="11"/>
      <c r="K995" s="11"/>
      <c r="L995" s="15"/>
      <c r="M995" s="15"/>
      <c r="N995" s="15"/>
      <c r="O995" s="15"/>
      <c r="P995" s="15"/>
      <c r="Q995" s="11"/>
      <c r="R995" s="11"/>
      <c r="S995" s="11"/>
      <c r="T995" s="11"/>
      <c r="U995" s="15"/>
      <c r="V995" s="11"/>
      <c r="W995" s="11"/>
      <c r="X995" s="11"/>
      <c r="Y995" s="11"/>
      <c r="Z995" s="11"/>
    </row>
    <row r="996">
      <c r="A996" s="18"/>
      <c r="B996" s="11"/>
      <c r="C996" s="11"/>
      <c r="D996" s="11"/>
      <c r="E996" s="11"/>
      <c r="F996" s="11"/>
      <c r="G996" s="11"/>
      <c r="H996" s="11"/>
      <c r="I996" s="11"/>
      <c r="J996" s="11"/>
      <c r="K996" s="11"/>
      <c r="L996" s="15"/>
      <c r="M996" s="15"/>
      <c r="N996" s="15"/>
      <c r="O996" s="15"/>
      <c r="P996" s="15"/>
      <c r="Q996" s="11"/>
      <c r="R996" s="11"/>
      <c r="S996" s="11"/>
      <c r="T996" s="11"/>
      <c r="U996" s="15"/>
      <c r="V996" s="11"/>
      <c r="W996" s="11"/>
      <c r="X996" s="11"/>
      <c r="Y996" s="11"/>
      <c r="Z996" s="11"/>
    </row>
    <row r="997">
      <c r="A997" s="18"/>
      <c r="B997" s="11"/>
      <c r="C997" s="11"/>
      <c r="D997" s="11"/>
      <c r="E997" s="11"/>
      <c r="F997" s="11"/>
      <c r="G997" s="11"/>
      <c r="H997" s="11"/>
      <c r="I997" s="11"/>
      <c r="J997" s="11"/>
      <c r="K997" s="11"/>
      <c r="L997" s="15"/>
      <c r="M997" s="15"/>
      <c r="N997" s="15"/>
      <c r="O997" s="15"/>
      <c r="P997" s="15"/>
      <c r="Q997" s="11"/>
      <c r="R997" s="11"/>
      <c r="S997" s="11"/>
      <c r="T997" s="11"/>
      <c r="U997" s="15"/>
      <c r="V997" s="11"/>
      <c r="W997" s="11"/>
      <c r="X997" s="11"/>
      <c r="Y997" s="11"/>
      <c r="Z997" s="11"/>
    </row>
    <row r="998">
      <c r="A998" s="18"/>
      <c r="B998" s="11"/>
      <c r="C998" s="11"/>
      <c r="D998" s="11"/>
      <c r="E998" s="11"/>
      <c r="F998" s="11"/>
      <c r="G998" s="11"/>
      <c r="H998" s="11"/>
      <c r="I998" s="11"/>
      <c r="J998" s="11"/>
      <c r="K998" s="11"/>
      <c r="L998" s="15"/>
      <c r="M998" s="15"/>
      <c r="N998" s="15"/>
      <c r="O998" s="15"/>
      <c r="P998" s="15"/>
      <c r="Q998" s="11"/>
      <c r="R998" s="11"/>
      <c r="S998" s="11"/>
      <c r="T998" s="11"/>
      <c r="U998" s="15"/>
      <c r="V998" s="11"/>
      <c r="W998" s="11"/>
      <c r="X998" s="11"/>
      <c r="Y998" s="11"/>
      <c r="Z998" s="11"/>
    </row>
    <row r="999">
      <c r="A999" s="18"/>
      <c r="B999" s="11"/>
      <c r="C999" s="11"/>
      <c r="D999" s="11"/>
      <c r="E999" s="11"/>
      <c r="F999" s="11"/>
      <c r="G999" s="11"/>
      <c r="H999" s="11"/>
      <c r="I999" s="11"/>
      <c r="J999" s="11"/>
      <c r="K999" s="11"/>
      <c r="L999" s="15"/>
      <c r="M999" s="15"/>
      <c r="N999" s="15"/>
      <c r="O999" s="15"/>
      <c r="P999" s="15"/>
      <c r="Q999" s="11"/>
      <c r="R999" s="11"/>
      <c r="S999" s="11"/>
      <c r="T999" s="11"/>
      <c r="U999" s="15"/>
      <c r="V999" s="11"/>
      <c r="W999" s="11"/>
      <c r="X999" s="11"/>
      <c r="Y999" s="11"/>
      <c r="Z999" s="11"/>
    </row>
    <row r="1000">
      <c r="A1000" s="18"/>
      <c r="B1000" s="11"/>
      <c r="C1000" s="11"/>
      <c r="D1000" s="11"/>
      <c r="E1000" s="11"/>
      <c r="F1000" s="11"/>
      <c r="G1000" s="11"/>
      <c r="H1000" s="11"/>
      <c r="I1000" s="11"/>
      <c r="J1000" s="11"/>
      <c r="K1000" s="11"/>
      <c r="L1000" s="15"/>
      <c r="M1000" s="15"/>
      <c r="N1000" s="15"/>
      <c r="O1000" s="15"/>
      <c r="P1000" s="15"/>
      <c r="Q1000" s="11"/>
      <c r="R1000" s="11"/>
      <c r="S1000" s="11"/>
      <c r="T1000" s="11"/>
      <c r="U1000" s="15"/>
      <c r="V1000" s="11"/>
      <c r="W1000" s="11"/>
      <c r="X1000" s="11"/>
      <c r="Y1000" s="11"/>
      <c r="Z1000" s="11"/>
    </row>
    <row r="1001">
      <c r="A1001" s="18"/>
      <c r="B1001" s="11"/>
      <c r="C1001" s="11"/>
      <c r="D1001" s="11"/>
      <c r="E1001" s="11"/>
      <c r="F1001" s="11"/>
      <c r="G1001" s="11"/>
      <c r="H1001" s="11"/>
      <c r="I1001" s="11"/>
      <c r="J1001" s="11"/>
      <c r="K1001" s="11"/>
      <c r="L1001" s="15"/>
      <c r="M1001" s="15"/>
      <c r="N1001" s="15"/>
      <c r="O1001" s="15"/>
      <c r="P1001" s="15"/>
      <c r="Q1001" s="11"/>
      <c r="R1001" s="11"/>
      <c r="S1001" s="11"/>
      <c r="T1001" s="11"/>
      <c r="U1001" s="15"/>
      <c r="V1001" s="11"/>
      <c r="W1001" s="11"/>
      <c r="X1001" s="11"/>
      <c r="Y1001" s="11"/>
      <c r="Z1001" s="11"/>
    </row>
    <row r="1002">
      <c r="A1002" s="18"/>
      <c r="B1002" s="11"/>
      <c r="C1002" s="11"/>
      <c r="D1002" s="11"/>
      <c r="E1002" s="11"/>
      <c r="F1002" s="11"/>
      <c r="G1002" s="11"/>
      <c r="H1002" s="11"/>
      <c r="I1002" s="11"/>
      <c r="J1002" s="11"/>
      <c r="K1002" s="11"/>
      <c r="L1002" s="15"/>
      <c r="M1002" s="15"/>
      <c r="N1002" s="15"/>
      <c r="O1002" s="15"/>
      <c r="P1002" s="15"/>
      <c r="Q1002" s="11"/>
      <c r="R1002" s="11"/>
      <c r="S1002" s="11"/>
      <c r="T1002" s="11"/>
      <c r="U1002" s="15"/>
      <c r="V1002" s="11"/>
      <c r="W1002" s="11"/>
      <c r="X1002" s="11"/>
      <c r="Y1002" s="11"/>
      <c r="Z1002" s="11"/>
    </row>
    <row r="1003">
      <c r="A1003" s="18"/>
      <c r="B1003" s="11"/>
      <c r="C1003" s="11"/>
      <c r="D1003" s="11"/>
      <c r="E1003" s="11"/>
      <c r="F1003" s="11"/>
      <c r="G1003" s="11"/>
      <c r="H1003" s="11"/>
      <c r="I1003" s="11"/>
      <c r="J1003" s="11"/>
      <c r="K1003" s="11"/>
      <c r="L1003" s="15"/>
      <c r="M1003" s="15"/>
      <c r="N1003" s="15"/>
      <c r="O1003" s="15"/>
      <c r="P1003" s="15"/>
      <c r="Q1003" s="11"/>
      <c r="R1003" s="11"/>
      <c r="S1003" s="11"/>
      <c r="T1003" s="11"/>
      <c r="U1003" s="15"/>
      <c r="V1003" s="11"/>
      <c r="W1003" s="11"/>
      <c r="X1003" s="11"/>
      <c r="Y1003" s="11"/>
      <c r="Z1003" s="11"/>
    </row>
  </sheetData>
  <hyperlinks>
    <hyperlink r:id="rId1" ref="S3"/>
    <hyperlink r:id="rId2" ref="G5"/>
    <hyperlink r:id="rId3" ref="S5"/>
  </hyperlinks>
  <drawing r:id="rId4"/>
  <tableParts count="1">
    <tablePart r:id="rId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 width="15.86"/>
    <col customWidth="1" min="3" max="3" width="21.57"/>
    <col customWidth="1" min="4" max="4" width="43.0"/>
    <col customWidth="1" min="5" max="5" width="18.71"/>
    <col customWidth="1" min="6" max="6" width="21.57"/>
  </cols>
  <sheetData>
    <row r="1" ht="24.0" customHeight="1">
      <c r="A1" s="1"/>
      <c r="B1" s="2" t="s">
        <v>386</v>
      </c>
      <c r="C1" s="3"/>
      <c r="D1" s="3"/>
      <c r="E1" s="3"/>
      <c r="F1" s="3"/>
      <c r="G1" s="3"/>
      <c r="H1" s="3"/>
      <c r="I1" s="3"/>
      <c r="J1" s="3"/>
      <c r="K1" s="3"/>
      <c r="L1" s="4"/>
      <c r="M1" s="4"/>
      <c r="N1" s="4"/>
      <c r="O1" s="4"/>
      <c r="P1" s="4"/>
      <c r="Q1" s="3"/>
      <c r="R1" s="3"/>
      <c r="S1" s="3"/>
      <c r="T1" s="3"/>
      <c r="U1" s="4"/>
      <c r="V1" s="3"/>
      <c r="W1" s="3"/>
      <c r="X1" s="3"/>
      <c r="Y1" s="3"/>
      <c r="Z1" s="3"/>
    </row>
    <row r="2" ht="24.0" customHeight="1">
      <c r="A2" s="5" t="s">
        <v>1</v>
      </c>
      <c r="B2" s="6" t="s">
        <v>2</v>
      </c>
      <c r="C2" s="6" t="s">
        <v>3</v>
      </c>
      <c r="D2" s="6" t="s">
        <v>4</v>
      </c>
      <c r="E2" s="6" t="s">
        <v>5</v>
      </c>
      <c r="F2" s="6" t="s">
        <v>6</v>
      </c>
      <c r="G2" s="6" t="s">
        <v>7</v>
      </c>
      <c r="H2" s="6" t="s">
        <v>8</v>
      </c>
      <c r="I2" s="6" t="s">
        <v>9</v>
      </c>
      <c r="J2" s="6" t="s">
        <v>10</v>
      </c>
      <c r="K2" s="6" t="s">
        <v>11</v>
      </c>
      <c r="L2" s="5" t="s">
        <v>12</v>
      </c>
      <c r="M2" s="5" t="s">
        <v>13</v>
      </c>
      <c r="N2" s="5" t="s">
        <v>14</v>
      </c>
      <c r="O2" s="5" t="s">
        <v>15</v>
      </c>
      <c r="P2" s="5" t="s">
        <v>16</v>
      </c>
      <c r="Q2" s="6" t="s">
        <v>8</v>
      </c>
      <c r="R2" s="6" t="s">
        <v>17</v>
      </c>
      <c r="S2" s="6" t="s">
        <v>18</v>
      </c>
      <c r="T2" s="6" t="s">
        <v>19</v>
      </c>
      <c r="U2" s="5" t="s">
        <v>20</v>
      </c>
      <c r="V2" s="7"/>
      <c r="W2" s="7"/>
      <c r="X2" s="7"/>
      <c r="Y2" s="7"/>
      <c r="Z2" s="7"/>
    </row>
    <row r="3">
      <c r="A3" s="8">
        <v>44222.555243055554</v>
      </c>
      <c r="B3" s="9" t="str">
        <f>HYPERLINK("https://twitter.com/Killer_Rmhope","@Killer_Rmhope")</f>
        <v>@Killer_Rmhope</v>
      </c>
      <c r="C3" s="10" t="s">
        <v>387</v>
      </c>
      <c r="D3" s="10" t="s">
        <v>388</v>
      </c>
      <c r="E3" s="9" t="str">
        <f>HYPERLINK("https://twitter.com/Killer_Rmhope/status/1354177179861577730","1354177179861577730")</f>
        <v>1354177179861577730</v>
      </c>
      <c r="F3" s="11"/>
      <c r="G3" s="11"/>
      <c r="H3" s="11"/>
      <c r="I3" s="13">
        <v>0.0</v>
      </c>
      <c r="J3" s="13">
        <v>0.0</v>
      </c>
      <c r="K3" s="9" t="str">
        <f>HYPERLINK("http://twitter.com/download/android","Twitter for Android")</f>
        <v>Twitter for Android</v>
      </c>
      <c r="L3" s="14">
        <v>3.0</v>
      </c>
      <c r="M3" s="14">
        <v>9.0</v>
      </c>
      <c r="N3" s="14">
        <v>0.0</v>
      </c>
      <c r="O3" s="15"/>
      <c r="P3" s="16">
        <v>44172.659895833334</v>
      </c>
      <c r="Q3" s="11"/>
      <c r="R3" s="11"/>
      <c r="S3" s="11"/>
      <c r="T3" s="11"/>
      <c r="U3" s="17" t="str">
        <f>HYPERLINK("https://pbs.twimg.com/profile_images/1354175736958083072/nLpO5ABt.jpg","View")</f>
        <v>View</v>
      </c>
      <c r="V3" s="11"/>
      <c r="W3" s="11"/>
      <c r="X3" s="11"/>
      <c r="Y3" s="11"/>
      <c r="Z3" s="11"/>
    </row>
    <row r="4">
      <c r="A4" s="8">
        <v>44222.53076388889</v>
      </c>
      <c r="B4" s="9" t="str">
        <f>HYPERLINK("https://twitter.com/hos0121","@hos0121")</f>
        <v>@hos0121</v>
      </c>
      <c r="C4" s="10" t="s">
        <v>389</v>
      </c>
      <c r="D4" s="10" t="s">
        <v>390</v>
      </c>
      <c r="E4" s="9" t="str">
        <f>HYPERLINK("https://twitter.com/hos0121/status/1354168309143523328","1354168309143523328")</f>
        <v>1354168309143523328</v>
      </c>
      <c r="F4" s="12" t="s">
        <v>391</v>
      </c>
      <c r="G4" s="12" t="s">
        <v>392</v>
      </c>
      <c r="H4" s="11"/>
      <c r="I4" s="13">
        <v>0.0</v>
      </c>
      <c r="J4" s="13">
        <v>1.0</v>
      </c>
      <c r="K4" s="9" t="str">
        <f>HYPERLINK("https://mobile.twitter.com","Twitter Web App")</f>
        <v>Twitter Web App</v>
      </c>
      <c r="L4" s="14">
        <v>50.0</v>
      </c>
      <c r="M4" s="14">
        <v>154.0</v>
      </c>
      <c r="N4" s="14">
        <v>0.0</v>
      </c>
      <c r="O4" s="15"/>
      <c r="P4" s="16">
        <v>43929.4328125</v>
      </c>
      <c r="Q4" s="10" t="s">
        <v>393</v>
      </c>
      <c r="R4" s="10" t="s">
        <v>394</v>
      </c>
      <c r="S4" s="11"/>
      <c r="T4" s="11"/>
      <c r="U4" s="17" t="str">
        <f>HYPERLINK("https://pbs.twimg.com/profile_images/1354140991033397250/5lYgJp3S.png","View")</f>
        <v>View</v>
      </c>
      <c r="V4" s="11"/>
      <c r="W4" s="11"/>
      <c r="X4" s="11"/>
      <c r="Y4" s="11"/>
      <c r="Z4" s="11"/>
    </row>
    <row r="5">
      <c r="A5" s="8">
        <v>44222.52582175926</v>
      </c>
      <c r="B5" s="9" t="str">
        <f>HYPERLINK("https://twitter.com/Nestor_pv","@Nestor_pv")</f>
        <v>@Nestor_pv</v>
      </c>
      <c r="C5" s="10" t="s">
        <v>395</v>
      </c>
      <c r="D5" s="10" t="s">
        <v>396</v>
      </c>
      <c r="E5" s="9" t="str">
        <f>HYPERLINK("https://twitter.com/Nestor_pv/status/1354166515382300672","1354166515382300672")</f>
        <v>1354166515382300672</v>
      </c>
      <c r="F5" s="12" t="s">
        <v>397</v>
      </c>
      <c r="G5" s="12" t="s">
        <v>398</v>
      </c>
      <c r="H5" s="11"/>
      <c r="I5" s="13">
        <v>0.0</v>
      </c>
      <c r="J5" s="13">
        <v>0.0</v>
      </c>
      <c r="K5" s="9" t="str">
        <f t="shared" ref="K5:K6" si="1">HYPERLINK("http://twitter.com/download/android","Twitter for Android")</f>
        <v>Twitter for Android</v>
      </c>
      <c r="L5" s="14">
        <v>367.0</v>
      </c>
      <c r="M5" s="14">
        <v>417.0</v>
      </c>
      <c r="N5" s="14">
        <v>3.0</v>
      </c>
      <c r="O5" s="15"/>
      <c r="P5" s="16">
        <v>39561.383518518516</v>
      </c>
      <c r="Q5" s="10" t="s">
        <v>399</v>
      </c>
      <c r="R5" s="10" t="s">
        <v>400</v>
      </c>
      <c r="S5" s="11"/>
      <c r="T5" s="11"/>
      <c r="U5" s="17" t="str">
        <f>HYPERLINK("https://pbs.twimg.com/profile_images/3308503752/da6d2d51c4f42d3911d13dff635eace2.png","View")</f>
        <v>View</v>
      </c>
      <c r="V5" s="11"/>
      <c r="W5" s="11"/>
      <c r="X5" s="11"/>
      <c r="Y5" s="11"/>
      <c r="Z5" s="11"/>
    </row>
    <row r="6">
      <c r="A6" s="8">
        <v>44222.519062499996</v>
      </c>
      <c r="B6" s="9" t="str">
        <f>HYPERLINK("https://twitter.com/Paper_baag","@Paper_baag")</f>
        <v>@Paper_baag</v>
      </c>
      <c r="C6" s="10" t="s">
        <v>401</v>
      </c>
      <c r="D6" s="10" t="s">
        <v>402</v>
      </c>
      <c r="E6" s="9" t="str">
        <f>HYPERLINK("https://twitter.com/Paper_baag/status/1354164066202349568","1354164066202349568")</f>
        <v>1354164066202349568</v>
      </c>
      <c r="F6" s="11"/>
      <c r="G6" s="11"/>
      <c r="H6" s="11"/>
      <c r="I6" s="13">
        <v>0.0</v>
      </c>
      <c r="J6" s="13">
        <v>0.0</v>
      </c>
      <c r="K6" s="9" t="str">
        <f t="shared" si="1"/>
        <v>Twitter for Android</v>
      </c>
      <c r="L6" s="14">
        <v>39.0</v>
      </c>
      <c r="M6" s="14">
        <v>228.0</v>
      </c>
      <c r="N6" s="14">
        <v>0.0</v>
      </c>
      <c r="O6" s="15"/>
      <c r="P6" s="16">
        <v>44073.64612268518</v>
      </c>
      <c r="Q6" s="11"/>
      <c r="R6" s="10" t="s">
        <v>403</v>
      </c>
      <c r="S6" s="11"/>
      <c r="T6" s="11"/>
      <c r="U6" s="17" t="str">
        <f>HYPERLINK("https://pbs.twimg.com/profile_images/1353563294473269248/Mw4O2-Um.jpg","View")</f>
        <v>View</v>
      </c>
      <c r="V6" s="11"/>
      <c r="W6" s="11"/>
      <c r="X6" s="11"/>
      <c r="Y6" s="11"/>
      <c r="Z6" s="11"/>
    </row>
    <row r="7">
      <c r="A7" s="8">
        <v>44222.51064814815</v>
      </c>
      <c r="B7" s="9" t="str">
        <f>HYPERLINK("https://twitter.com/andruini","@andruini")</f>
        <v>@andruini</v>
      </c>
      <c r="C7" s="10" t="s">
        <v>404</v>
      </c>
      <c r="D7" s="10" t="s">
        <v>405</v>
      </c>
      <c r="E7" s="9" t="str">
        <f>HYPERLINK("https://twitter.com/andruini/status/1354161017673162755","1354161017673162755")</f>
        <v>1354161017673162755</v>
      </c>
      <c r="F7" s="12" t="s">
        <v>406</v>
      </c>
      <c r="G7" s="12" t="s">
        <v>407</v>
      </c>
      <c r="H7" s="11"/>
      <c r="I7" s="13">
        <v>0.0</v>
      </c>
      <c r="J7" s="13">
        <v>0.0</v>
      </c>
      <c r="K7" s="9" t="str">
        <f>HYPERLINK("http://twitter.com/download/iphone","Twitter for iPhone")</f>
        <v>Twitter for iPhone</v>
      </c>
      <c r="L7" s="14">
        <v>1426.0</v>
      </c>
      <c r="M7" s="14">
        <v>434.0</v>
      </c>
      <c r="N7" s="14">
        <v>5.0</v>
      </c>
      <c r="O7" s="15"/>
      <c r="P7" s="16">
        <v>40664.54216435185</v>
      </c>
      <c r="Q7" s="10" t="s">
        <v>408</v>
      </c>
      <c r="R7" s="10" t="s">
        <v>409</v>
      </c>
      <c r="S7" s="11"/>
      <c r="T7" s="11"/>
      <c r="U7" s="17" t="str">
        <f>HYPERLINK("https://pbs.twimg.com/profile_images/1354152657909395458/Bm8HC8B3.jpg","View")</f>
        <v>View</v>
      </c>
      <c r="V7" s="11"/>
      <c r="W7" s="11"/>
      <c r="X7" s="11"/>
      <c r="Y7" s="11"/>
      <c r="Z7" s="11"/>
    </row>
    <row r="8">
      <c r="A8" s="8">
        <v>44222.474270833336</v>
      </c>
      <c r="B8" s="9" t="str">
        <f>HYPERLINK("https://twitter.com/xGenesis99x","@xGenesis99x")</f>
        <v>@xGenesis99x</v>
      </c>
      <c r="C8" s="10" t="s">
        <v>410</v>
      </c>
      <c r="D8" s="10" t="s">
        <v>411</v>
      </c>
      <c r="E8" s="9" t="str">
        <f>HYPERLINK("https://twitter.com/xGenesis99x/status/1354147835789406211","1354147835789406211")</f>
        <v>1354147835789406211</v>
      </c>
      <c r="F8" s="11"/>
      <c r="G8" s="11"/>
      <c r="H8" s="11"/>
      <c r="I8" s="13">
        <v>1.0</v>
      </c>
      <c r="J8" s="13">
        <v>2.0</v>
      </c>
      <c r="K8" s="9" t="str">
        <f>HYPERLINK("https://mobile.twitter.com","Twitter Web App")</f>
        <v>Twitter Web App</v>
      </c>
      <c r="L8" s="14">
        <v>84.0</v>
      </c>
      <c r="M8" s="14">
        <v>418.0</v>
      </c>
      <c r="N8" s="14">
        <v>0.0</v>
      </c>
      <c r="O8" s="15"/>
      <c r="P8" s="16">
        <v>44198.56391203703</v>
      </c>
      <c r="Q8" s="11"/>
      <c r="R8" s="10" t="s">
        <v>412</v>
      </c>
      <c r="S8" s="11"/>
      <c r="T8" s="11"/>
      <c r="U8" s="17" t="str">
        <f>HYPERLINK("https://pbs.twimg.com/profile_images/1345483755969011712/QZqkM9rg.jpg","View")</f>
        <v>View</v>
      </c>
      <c r="V8" s="11"/>
      <c r="W8" s="11"/>
      <c r="X8" s="11"/>
      <c r="Y8" s="11"/>
      <c r="Z8" s="11"/>
    </row>
    <row r="9">
      <c r="A9" s="8">
        <v>44222.473703703705</v>
      </c>
      <c r="B9" s="9" t="str">
        <f>HYPERLINK("https://twitter.com/DylanLeandro18","@DylanLeandro18")</f>
        <v>@DylanLeandro18</v>
      </c>
      <c r="C9" s="10" t="s">
        <v>413</v>
      </c>
      <c r="D9" s="10" t="s">
        <v>414</v>
      </c>
      <c r="E9" s="9" t="str">
        <f>HYPERLINK("https://twitter.com/DylanLeandro18/status/1354147628863410176","1354147628863410176")</f>
        <v>1354147628863410176</v>
      </c>
      <c r="F9" s="11"/>
      <c r="G9" s="11"/>
      <c r="H9" s="11"/>
      <c r="I9" s="13">
        <v>0.0</v>
      </c>
      <c r="J9" s="13">
        <v>1.0</v>
      </c>
      <c r="K9" s="9" t="str">
        <f t="shared" ref="K9:K12" si="2">HYPERLINK("http://twitter.com/download/android","Twitter for Android")</f>
        <v>Twitter for Android</v>
      </c>
      <c r="L9" s="14">
        <v>37.0</v>
      </c>
      <c r="M9" s="14">
        <v>53.0</v>
      </c>
      <c r="N9" s="14">
        <v>0.0</v>
      </c>
      <c r="O9" s="15"/>
      <c r="P9" s="16">
        <v>43983.581562499996</v>
      </c>
      <c r="Q9" s="11"/>
      <c r="R9" s="10" t="s">
        <v>415</v>
      </c>
      <c r="S9" s="11"/>
      <c r="T9" s="11"/>
      <c r="U9" s="17" t="str">
        <f>HYPERLINK("https://pbs.twimg.com/profile_images/1351254161900392448/ursquEZr.jpg","View")</f>
        <v>View</v>
      </c>
      <c r="V9" s="11"/>
      <c r="W9" s="11"/>
      <c r="X9" s="11"/>
      <c r="Y9" s="11"/>
      <c r="Z9" s="11"/>
    </row>
    <row r="10">
      <c r="A10" s="8">
        <v>44222.37484953704</v>
      </c>
      <c r="B10" s="9" t="str">
        <f>HYPERLINK("https://twitter.com/V4Nangel","@V4Nangel")</f>
        <v>@V4Nangel</v>
      </c>
      <c r="C10" s="10" t="s">
        <v>416</v>
      </c>
      <c r="D10" s="10" t="s">
        <v>417</v>
      </c>
      <c r="E10" s="9" t="str">
        <f>HYPERLINK("https://twitter.com/V4Nangel/status/1354111807045177347","1354111807045177347")</f>
        <v>1354111807045177347</v>
      </c>
      <c r="F10" s="11"/>
      <c r="G10" s="11"/>
      <c r="H10" s="11"/>
      <c r="I10" s="13">
        <v>0.0</v>
      </c>
      <c r="J10" s="13">
        <v>0.0</v>
      </c>
      <c r="K10" s="9" t="str">
        <f t="shared" si="2"/>
        <v>Twitter for Android</v>
      </c>
      <c r="L10" s="14">
        <v>6.0</v>
      </c>
      <c r="M10" s="14">
        <v>70.0</v>
      </c>
      <c r="N10" s="14">
        <v>0.0</v>
      </c>
      <c r="O10" s="15"/>
      <c r="P10" s="16">
        <v>44195.48846064815</v>
      </c>
      <c r="Q10" s="10" t="s">
        <v>418</v>
      </c>
      <c r="R10" s="10" t="s">
        <v>419</v>
      </c>
      <c r="S10" s="12" t="s">
        <v>420</v>
      </c>
      <c r="T10" s="11"/>
      <c r="U10" s="17" t="str">
        <f>HYPERLINK("https://pbs.twimg.com/profile_images/1344368578846470145/Pc_qY0VM.jpg","View")</f>
        <v>View</v>
      </c>
      <c r="V10" s="11"/>
      <c r="W10" s="11"/>
      <c r="X10" s="11"/>
      <c r="Y10" s="11"/>
      <c r="Z10" s="11"/>
    </row>
    <row r="11">
      <c r="A11" s="8">
        <v>44222.37287037037</v>
      </c>
      <c r="B11" s="9" t="str">
        <f>HYPERLINK("https://twitter.com/cafeinomanoX","@cafeinomanoX")</f>
        <v>@cafeinomanoX</v>
      </c>
      <c r="C11" s="10" t="s">
        <v>421</v>
      </c>
      <c r="D11" s="10" t="s">
        <v>422</v>
      </c>
      <c r="E11" s="9" t="str">
        <f>HYPERLINK("https://twitter.com/cafeinomanoX/status/1354111087474585612","1354111087474585612")</f>
        <v>1354111087474585612</v>
      </c>
      <c r="F11" s="12" t="s">
        <v>423</v>
      </c>
      <c r="G11" s="12" t="s">
        <v>424</v>
      </c>
      <c r="H11" s="11"/>
      <c r="I11" s="13">
        <v>0.0</v>
      </c>
      <c r="J11" s="13">
        <v>2.0</v>
      </c>
      <c r="K11" s="9" t="str">
        <f t="shared" si="2"/>
        <v>Twitter for Android</v>
      </c>
      <c r="L11" s="14">
        <v>1084.0</v>
      </c>
      <c r="M11" s="14">
        <v>1085.0</v>
      </c>
      <c r="N11" s="14">
        <v>0.0</v>
      </c>
      <c r="O11" s="15"/>
      <c r="P11" s="16">
        <v>42233.071284722224</v>
      </c>
      <c r="Q11" s="10" t="s">
        <v>425</v>
      </c>
      <c r="R11" s="10" t="s">
        <v>426</v>
      </c>
      <c r="S11" s="11"/>
      <c r="T11" s="11"/>
      <c r="U11" s="17" t="str">
        <f>HYPERLINK("https://pbs.twimg.com/profile_images/1353343567171883009/0X1kCweo.jpg","View")</f>
        <v>View</v>
      </c>
      <c r="V11" s="11"/>
      <c r="W11" s="11"/>
      <c r="X11" s="11"/>
      <c r="Y11" s="11"/>
      <c r="Z11" s="11"/>
    </row>
    <row r="12">
      <c r="A12" s="8">
        <v>44222.365393518514</v>
      </c>
      <c r="B12" s="9" t="str">
        <f>HYPERLINK("https://twitter.com/jesusete454","@jesusete454")</f>
        <v>@jesusete454</v>
      </c>
      <c r="C12" s="10" t="s">
        <v>427</v>
      </c>
      <c r="D12" s="10" t="s">
        <v>428</v>
      </c>
      <c r="E12" s="9" t="str">
        <f>HYPERLINK("https://twitter.com/jesusete454/status/1354108378872770561","1354108378872770561")</f>
        <v>1354108378872770561</v>
      </c>
      <c r="F12" s="10" t="s">
        <v>429</v>
      </c>
      <c r="G12" s="11"/>
      <c r="H12" s="11"/>
      <c r="I12" s="13">
        <v>0.0</v>
      </c>
      <c r="J12" s="13">
        <v>0.0</v>
      </c>
      <c r="K12" s="9" t="str">
        <f t="shared" si="2"/>
        <v>Twitter for Android</v>
      </c>
      <c r="L12" s="14">
        <v>673.0</v>
      </c>
      <c r="M12" s="14">
        <v>878.0</v>
      </c>
      <c r="N12" s="14">
        <v>12.0</v>
      </c>
      <c r="O12" s="15"/>
      <c r="P12" s="16">
        <v>41298.19335648148</v>
      </c>
      <c r="Q12" s="11"/>
      <c r="R12" s="11"/>
      <c r="S12" s="11"/>
      <c r="T12" s="11"/>
      <c r="U12" s="17" t="str">
        <f>HYPERLINK("https://pbs.twimg.com/profile_images/3156568513/11b160fc4b7e85b6ccabe136a703118f.jpeg","View")</f>
        <v>View</v>
      </c>
      <c r="V12" s="11"/>
      <c r="W12" s="11"/>
      <c r="X12" s="11"/>
      <c r="Y12" s="11"/>
      <c r="Z12" s="11"/>
    </row>
    <row r="13">
      <c r="A13" s="8">
        <v>44222.365277777775</v>
      </c>
      <c r="B13" s="9" t="str">
        <f>HYPERLINK("https://twitter.com/ElPreso2Ok","@ElPreso2Ok")</f>
        <v>@ElPreso2Ok</v>
      </c>
      <c r="C13" s="10" t="s">
        <v>430</v>
      </c>
      <c r="D13" s="10" t="s">
        <v>431</v>
      </c>
      <c r="E13" s="9" t="str">
        <f>HYPERLINK("https://twitter.com/ElPreso2Ok/status/1354108338460614657","1354108338460614657")</f>
        <v>1354108338460614657</v>
      </c>
      <c r="F13" s="11"/>
      <c r="G13" s="11"/>
      <c r="H13" s="11"/>
      <c r="I13" s="13">
        <v>1.0</v>
      </c>
      <c r="J13" s="13">
        <v>1.0</v>
      </c>
      <c r="K13" s="9" t="str">
        <f>HYPERLINK("https://mobile.twitter.com","Twitter Web App")</f>
        <v>Twitter Web App</v>
      </c>
      <c r="L13" s="14">
        <v>169.0</v>
      </c>
      <c r="M13" s="14">
        <v>271.0</v>
      </c>
      <c r="N13" s="14">
        <v>0.0</v>
      </c>
      <c r="O13" s="15"/>
      <c r="P13" s="16">
        <v>43719.61622685185</v>
      </c>
      <c r="Q13" s="10" t="s">
        <v>432</v>
      </c>
      <c r="R13" s="10" t="s">
        <v>433</v>
      </c>
      <c r="S13" s="11"/>
      <c r="T13" s="11"/>
      <c r="U13" s="17" t="str">
        <f>HYPERLINK("https://pbs.twimg.com/profile_images/1304130841266786305/h3V0egUj.jpg","View")</f>
        <v>View</v>
      </c>
      <c r="V13" s="11"/>
      <c r="W13" s="11"/>
      <c r="X13" s="11"/>
      <c r="Y13" s="11"/>
      <c r="Z13" s="11"/>
    </row>
    <row r="14">
      <c r="A14" s="8">
        <v>44222.35582175926</v>
      </c>
      <c r="B14" s="9" t="str">
        <f>HYPERLINK("https://twitter.com/chijune_","@chijune_")</f>
        <v>@chijune_</v>
      </c>
      <c r="C14" s="10" t="s">
        <v>434</v>
      </c>
      <c r="D14" s="10" t="s">
        <v>435</v>
      </c>
      <c r="E14" s="9" t="str">
        <f>HYPERLINK("https://twitter.com/chijune_/status/1354104912976740364","1354104912976740364")</f>
        <v>1354104912976740364</v>
      </c>
      <c r="F14" s="12" t="s">
        <v>436</v>
      </c>
      <c r="G14" s="12" t="s">
        <v>437</v>
      </c>
      <c r="H14" s="11"/>
      <c r="I14" s="13">
        <v>0.0</v>
      </c>
      <c r="J14" s="13">
        <v>1.0</v>
      </c>
      <c r="K14" s="9" t="str">
        <f t="shared" ref="K14:K17" si="3">HYPERLINK("http://twitter.com/download/android","Twitter for Android")</f>
        <v>Twitter for Android</v>
      </c>
      <c r="L14" s="14">
        <v>479.0</v>
      </c>
      <c r="M14" s="14">
        <v>422.0</v>
      </c>
      <c r="N14" s="14">
        <v>8.0</v>
      </c>
      <c r="O14" s="15"/>
      <c r="P14" s="16">
        <v>44151.45483796296</v>
      </c>
      <c r="Q14" s="11"/>
      <c r="R14" s="10" t="s">
        <v>438</v>
      </c>
      <c r="S14" s="12" t="s">
        <v>439</v>
      </c>
      <c r="T14" s="11"/>
      <c r="U14" s="17" t="str">
        <f>HYPERLINK("https://pbs.twimg.com/profile_images/1352465819968614401/GKnbRnl9.jpg","View")</f>
        <v>View</v>
      </c>
      <c r="V14" s="11"/>
      <c r="W14" s="11"/>
      <c r="X14" s="11"/>
      <c r="Y14" s="11"/>
      <c r="Z14" s="11"/>
    </row>
    <row r="15">
      <c r="A15" s="8">
        <v>44222.354108796295</v>
      </c>
      <c r="B15" s="9" t="str">
        <f>HYPERLINK("https://twitter.com/AstarothReturns","@AstarothReturns")</f>
        <v>@AstarothReturns</v>
      </c>
      <c r="C15" s="10" t="s">
        <v>440</v>
      </c>
      <c r="D15" s="10" t="s">
        <v>441</v>
      </c>
      <c r="E15" s="9" t="str">
        <f>HYPERLINK("https://twitter.com/AstarothReturns/status/1354104288251936770","1354104288251936770")</f>
        <v>1354104288251936770</v>
      </c>
      <c r="F15" s="11"/>
      <c r="G15" s="12" t="s">
        <v>442</v>
      </c>
      <c r="H15" s="11"/>
      <c r="I15" s="13">
        <v>0.0</v>
      </c>
      <c r="J15" s="13">
        <v>4.0</v>
      </c>
      <c r="K15" s="9" t="str">
        <f t="shared" si="3"/>
        <v>Twitter for Android</v>
      </c>
      <c r="L15" s="14">
        <v>209.0</v>
      </c>
      <c r="M15" s="14">
        <v>149.0</v>
      </c>
      <c r="N15" s="14">
        <v>3.0</v>
      </c>
      <c r="O15" s="15"/>
      <c r="P15" s="16">
        <v>44081.20796296296</v>
      </c>
      <c r="Q15" s="10" t="s">
        <v>443</v>
      </c>
      <c r="R15" s="10" t="s">
        <v>444</v>
      </c>
      <c r="S15" s="11"/>
      <c r="T15" s="11"/>
      <c r="U15" s="17" t="str">
        <f>HYPERLINK("https://pbs.twimg.com/profile_images/1320537812261810176/H205KGEl.jpg","View")</f>
        <v>View</v>
      </c>
      <c r="V15" s="11"/>
      <c r="W15" s="11"/>
      <c r="X15" s="11"/>
      <c r="Y15" s="11"/>
      <c r="Z15" s="11"/>
    </row>
    <row r="16">
      <c r="A16" s="8">
        <v>44222.35070601852</v>
      </c>
      <c r="B16" s="9" t="str">
        <f>HYPERLINK("https://twitter.com/dennabarelli","@dennabarelli")</f>
        <v>@dennabarelli</v>
      </c>
      <c r="C16" s="10" t="s">
        <v>445</v>
      </c>
      <c r="D16" s="10" t="s">
        <v>446</v>
      </c>
      <c r="E16" s="9" t="str">
        <f>HYPERLINK("https://twitter.com/dennabarelli/status/1354103058125512707","1354103058125512707")</f>
        <v>1354103058125512707</v>
      </c>
      <c r="F16" s="12" t="s">
        <v>447</v>
      </c>
      <c r="G16" s="12" t="s">
        <v>448</v>
      </c>
      <c r="H16" s="11"/>
      <c r="I16" s="13">
        <v>0.0</v>
      </c>
      <c r="J16" s="13">
        <v>0.0</v>
      </c>
      <c r="K16" s="9" t="str">
        <f t="shared" si="3"/>
        <v>Twitter for Android</v>
      </c>
      <c r="L16" s="14">
        <v>548.0</v>
      </c>
      <c r="M16" s="14">
        <v>342.0</v>
      </c>
      <c r="N16" s="14">
        <v>0.0</v>
      </c>
      <c r="O16" s="15"/>
      <c r="P16" s="16">
        <v>40016.357719907406</v>
      </c>
      <c r="Q16" s="11"/>
      <c r="R16" s="10" t="s">
        <v>449</v>
      </c>
      <c r="S16" s="11"/>
      <c r="T16" s="11"/>
      <c r="U16" s="17" t="str">
        <f>HYPERLINK("https://pbs.twimg.com/profile_images/1349685247932297216/VMHJi2Xr.jpg","View")</f>
        <v>View</v>
      </c>
      <c r="V16" s="11"/>
      <c r="W16" s="11"/>
      <c r="X16" s="11"/>
      <c r="Y16" s="11"/>
      <c r="Z16" s="11"/>
    </row>
    <row r="17">
      <c r="A17" s="8">
        <v>44222.35068287037</v>
      </c>
      <c r="B17" s="9" t="str">
        <f>HYPERLINK("https://twitter.com/Ivonnepapa","@Ivonnepapa")</f>
        <v>@Ivonnepapa</v>
      </c>
      <c r="C17" s="10" t="s">
        <v>450</v>
      </c>
      <c r="D17" s="10" t="s">
        <v>451</v>
      </c>
      <c r="E17" s="9" t="str">
        <f>HYPERLINK("https://twitter.com/Ivonnepapa/status/1354103050202460161","1354103050202460161")</f>
        <v>1354103050202460161</v>
      </c>
      <c r="F17" s="12" t="s">
        <v>452</v>
      </c>
      <c r="G17" s="11"/>
      <c r="H17" s="11"/>
      <c r="I17" s="13">
        <v>2.0</v>
      </c>
      <c r="J17" s="13">
        <v>3.0</v>
      </c>
      <c r="K17" s="9" t="str">
        <f t="shared" si="3"/>
        <v>Twitter for Android</v>
      </c>
      <c r="L17" s="14">
        <v>523.0</v>
      </c>
      <c r="M17" s="14">
        <v>342.0</v>
      </c>
      <c r="N17" s="14">
        <v>2.0</v>
      </c>
      <c r="O17" s="15"/>
      <c r="P17" s="16">
        <v>41653.658055555556</v>
      </c>
      <c r="Q17" s="10" t="s">
        <v>453</v>
      </c>
      <c r="R17" s="10" t="s">
        <v>454</v>
      </c>
      <c r="S17" s="11"/>
      <c r="T17" s="11"/>
      <c r="U17" s="17" t="str">
        <f>HYPERLINK("https://pbs.twimg.com/profile_images/1353579204013682688/UvLHKGht.jpg","View")</f>
        <v>View</v>
      </c>
      <c r="V17" s="11"/>
      <c r="W17" s="11"/>
      <c r="X17" s="11"/>
      <c r="Y17" s="11"/>
      <c r="Z17" s="11"/>
    </row>
    <row r="18">
      <c r="A18" s="8">
        <v>44222.34917824074</v>
      </c>
      <c r="B18" s="9" t="str">
        <f>HYPERLINK("https://twitter.com/cjavier96","@cjavier96")</f>
        <v>@cjavier96</v>
      </c>
      <c r="C18" s="10" t="s">
        <v>455</v>
      </c>
      <c r="D18" s="10" t="s">
        <v>456</v>
      </c>
      <c r="E18" s="9" t="str">
        <f>HYPERLINK("https://twitter.com/cjavier96/status/1354102501621030912","1354102501621030912")</f>
        <v>1354102501621030912</v>
      </c>
      <c r="F18" s="12" t="s">
        <v>457</v>
      </c>
      <c r="G18" s="11"/>
      <c r="H18" s="11"/>
      <c r="I18" s="13">
        <v>0.0</v>
      </c>
      <c r="J18" s="13">
        <v>0.0</v>
      </c>
      <c r="K18" s="9" t="str">
        <f>HYPERLINK("https://mobile.twitter.com","Twitter Web App")</f>
        <v>Twitter Web App</v>
      </c>
      <c r="L18" s="14">
        <v>36.0</v>
      </c>
      <c r="M18" s="14">
        <v>967.0</v>
      </c>
      <c r="N18" s="14">
        <v>0.0</v>
      </c>
      <c r="O18" s="15"/>
      <c r="P18" s="16">
        <v>40035.60293981482</v>
      </c>
      <c r="Q18" s="10" t="s">
        <v>55</v>
      </c>
      <c r="R18" s="10" t="s">
        <v>458</v>
      </c>
      <c r="S18" s="11"/>
      <c r="T18" s="11"/>
      <c r="U18" s="17" t="str">
        <f>HYPERLINK("https://pbs.twimg.com/profile_images/872993242563846144/r5m3oYOX.jpg","View")</f>
        <v>View</v>
      </c>
      <c r="V18" s="11"/>
      <c r="W18" s="11"/>
      <c r="X18" s="11"/>
      <c r="Y18" s="11"/>
      <c r="Z18" s="11"/>
    </row>
    <row r="19">
      <c r="A19" s="8">
        <v>44222.34722222222</v>
      </c>
      <c r="B19" s="9" t="str">
        <f>HYPERLINK("https://twitter.com/TaegiDaegu95","@TaegiDaegu95")</f>
        <v>@TaegiDaegu95</v>
      </c>
      <c r="C19" s="10" t="s">
        <v>459</v>
      </c>
      <c r="D19" s="10" t="s">
        <v>460</v>
      </c>
      <c r="E19" s="9" t="str">
        <f>HYPERLINK("https://twitter.com/TaegiDaegu95/status/1354101795166027781","1354101795166027781")</f>
        <v>1354101795166027781</v>
      </c>
      <c r="F19" s="11"/>
      <c r="G19" s="11"/>
      <c r="H19" s="11"/>
      <c r="I19" s="13">
        <v>0.0</v>
      </c>
      <c r="J19" s="13">
        <v>0.0</v>
      </c>
      <c r="K19" s="9" t="str">
        <f t="shared" ref="K19:K22" si="4">HYPERLINK("http://twitter.com/download/android","Twitter for Android")</f>
        <v>Twitter for Android</v>
      </c>
      <c r="L19" s="14">
        <v>138.0</v>
      </c>
      <c r="M19" s="14">
        <v>519.0</v>
      </c>
      <c r="N19" s="14">
        <v>0.0</v>
      </c>
      <c r="O19" s="15"/>
      <c r="P19" s="16">
        <v>43509.79280092593</v>
      </c>
      <c r="Q19" s="10" t="s">
        <v>461</v>
      </c>
      <c r="R19" s="10" t="s">
        <v>462</v>
      </c>
      <c r="S19" s="12" t="s">
        <v>463</v>
      </c>
      <c r="T19" s="11"/>
      <c r="U19" s="17" t="str">
        <f>HYPERLINK("https://pbs.twimg.com/profile_images/1353544177435504642/gG3jfkwl.jpg","View")</f>
        <v>View</v>
      </c>
      <c r="V19" s="11"/>
      <c r="W19" s="11"/>
      <c r="X19" s="11"/>
      <c r="Y19" s="11"/>
      <c r="Z19" s="11"/>
    </row>
    <row r="20">
      <c r="A20" s="8">
        <v>44222.34414351852</v>
      </c>
      <c r="B20" s="9" t="str">
        <f>HYPERLINK("https://twitter.com/Hersheyslauren","@Hersheyslauren")</f>
        <v>@Hersheyslauren</v>
      </c>
      <c r="C20" s="10" t="s">
        <v>464</v>
      </c>
      <c r="D20" s="10" t="s">
        <v>465</v>
      </c>
      <c r="E20" s="9" t="str">
        <f>HYPERLINK("https://twitter.com/Hersheyslauren/status/1354100680651399175","1354100680651399175")</f>
        <v>1354100680651399175</v>
      </c>
      <c r="F20" s="11"/>
      <c r="G20" s="12" t="s">
        <v>466</v>
      </c>
      <c r="H20" s="11"/>
      <c r="I20" s="13">
        <v>0.0</v>
      </c>
      <c r="J20" s="13">
        <v>0.0</v>
      </c>
      <c r="K20" s="9" t="str">
        <f t="shared" si="4"/>
        <v>Twitter for Android</v>
      </c>
      <c r="L20" s="14">
        <v>411.0</v>
      </c>
      <c r="M20" s="14">
        <v>655.0</v>
      </c>
      <c r="N20" s="14">
        <v>5.0</v>
      </c>
      <c r="O20" s="15"/>
      <c r="P20" s="16">
        <v>41487.78344907407</v>
      </c>
      <c r="Q20" s="10" t="s">
        <v>467</v>
      </c>
      <c r="R20" s="10" t="s">
        <v>468</v>
      </c>
      <c r="S20" s="11"/>
      <c r="T20" s="11"/>
      <c r="U20" s="17" t="str">
        <f>HYPERLINK("https://pbs.twimg.com/profile_images/1344641126695895040/-zu6oGqi.jpg","View")</f>
        <v>View</v>
      </c>
      <c r="V20" s="11"/>
      <c r="W20" s="11"/>
      <c r="X20" s="11"/>
      <c r="Y20" s="11"/>
      <c r="Z20" s="11"/>
    </row>
    <row r="21">
      <c r="A21" s="8">
        <v>44222.343622685185</v>
      </c>
      <c r="B21" s="9" t="str">
        <f>HYPERLINK("https://twitter.com/t0myn4b074","@t0myn4b074")</f>
        <v>@t0myn4b074</v>
      </c>
      <c r="C21" s="10" t="s">
        <v>469</v>
      </c>
      <c r="D21" s="10" t="s">
        <v>470</v>
      </c>
      <c r="E21" s="9" t="str">
        <f>HYPERLINK("https://twitter.com/t0myn4b074/status/1354100488925491201","1354100488925491201")</f>
        <v>1354100488925491201</v>
      </c>
      <c r="F21" s="12" t="s">
        <v>471</v>
      </c>
      <c r="G21" s="11"/>
      <c r="H21" s="11"/>
      <c r="I21" s="13">
        <v>0.0</v>
      </c>
      <c r="J21" s="13">
        <v>1.0</v>
      </c>
      <c r="K21" s="9" t="str">
        <f t="shared" si="4"/>
        <v>Twitter for Android</v>
      </c>
      <c r="L21" s="14">
        <v>529.0</v>
      </c>
      <c r="M21" s="14">
        <v>764.0</v>
      </c>
      <c r="N21" s="14">
        <v>0.0</v>
      </c>
      <c r="O21" s="15"/>
      <c r="P21" s="16">
        <v>43980.619374999995</v>
      </c>
      <c r="Q21" s="11"/>
      <c r="R21" s="10" t="s">
        <v>472</v>
      </c>
      <c r="S21" s="11"/>
      <c r="T21" s="11"/>
      <c r="U21" s="17" t="str">
        <f>HYPERLINK("https://pbs.twimg.com/profile_images/1340839971989708802/g2fAtv9T.jpg","View")</f>
        <v>View</v>
      </c>
      <c r="V21" s="11"/>
      <c r="W21" s="11"/>
      <c r="X21" s="11"/>
      <c r="Y21" s="11"/>
      <c r="Z21" s="11"/>
    </row>
    <row r="22">
      <c r="A22" s="8">
        <v>44222.33391203704</v>
      </c>
      <c r="B22" s="9" t="str">
        <f>HYPERLINK("https://twitter.com/ALVAROAVI","@ALVAROAVI")</f>
        <v>@ALVAROAVI</v>
      </c>
      <c r="C22" s="10" t="s">
        <v>473</v>
      </c>
      <c r="D22" s="10" t="s">
        <v>474</v>
      </c>
      <c r="E22" s="9" t="str">
        <f>HYPERLINK("https://twitter.com/ALVAROAVI/status/1354096971242418176","1354096971242418176")</f>
        <v>1354096971242418176</v>
      </c>
      <c r="F22" s="10" t="s">
        <v>475</v>
      </c>
      <c r="G22" s="11"/>
      <c r="H22" s="11"/>
      <c r="I22" s="13">
        <v>1.0</v>
      </c>
      <c r="J22" s="13">
        <v>1.0</v>
      </c>
      <c r="K22" s="9" t="str">
        <f t="shared" si="4"/>
        <v>Twitter for Android</v>
      </c>
      <c r="L22" s="14">
        <v>1960.0</v>
      </c>
      <c r="M22" s="14">
        <v>2411.0</v>
      </c>
      <c r="N22" s="14">
        <v>12.0</v>
      </c>
      <c r="O22" s="15"/>
      <c r="P22" s="16">
        <v>40325.501122685186</v>
      </c>
      <c r="Q22" s="10" t="s">
        <v>476</v>
      </c>
      <c r="R22" s="10" t="s">
        <v>477</v>
      </c>
      <c r="S22" s="11"/>
      <c r="T22" s="11"/>
      <c r="U22" s="17" t="str">
        <f>HYPERLINK("https://pbs.twimg.com/profile_images/1167162244699959300/w_ZdItfp.jpg","View")</f>
        <v>View</v>
      </c>
      <c r="V22" s="11"/>
      <c r="W22" s="11"/>
      <c r="X22" s="11"/>
      <c r="Y22" s="11"/>
      <c r="Z22" s="11"/>
    </row>
    <row r="23">
      <c r="A23" s="8">
        <v>44222.32944444445</v>
      </c>
      <c r="B23" s="9" t="str">
        <f>HYPERLINK("https://twitter.com/sftprxmise","@sftprxmise")</f>
        <v>@sftprxmise</v>
      </c>
      <c r="C23" s="10" t="s">
        <v>478</v>
      </c>
      <c r="D23" s="10" t="s">
        <v>479</v>
      </c>
      <c r="E23" s="9" t="str">
        <f>HYPERLINK("https://twitter.com/sftprxmise/status/1354095352476037120","1354095352476037120")</f>
        <v>1354095352476037120</v>
      </c>
      <c r="F23" s="11"/>
      <c r="G23" s="11"/>
      <c r="H23" s="11"/>
      <c r="I23" s="13">
        <v>0.0</v>
      </c>
      <c r="J23" s="13">
        <v>0.0</v>
      </c>
      <c r="K23" s="9" t="str">
        <f>HYPERLINK("http://twitter.com/download/iphone","Twitter for iPhone")</f>
        <v>Twitter for iPhone</v>
      </c>
      <c r="L23" s="14">
        <v>1061.0</v>
      </c>
      <c r="M23" s="14">
        <v>856.0</v>
      </c>
      <c r="N23" s="14">
        <v>6.0</v>
      </c>
      <c r="O23" s="15"/>
      <c r="P23" s="16">
        <v>43986.34254629629</v>
      </c>
      <c r="Q23" s="10" t="s">
        <v>480</v>
      </c>
      <c r="R23" s="11"/>
      <c r="S23" s="12" t="s">
        <v>481</v>
      </c>
      <c r="T23" s="11"/>
      <c r="U23" s="17" t="str">
        <f>HYPERLINK("https://pbs.twimg.com/profile_images/1353951178145607681/NvsyyUpo.jpg","View")</f>
        <v>View</v>
      </c>
      <c r="V23" s="11"/>
      <c r="W23" s="11"/>
      <c r="X23" s="11"/>
      <c r="Y23" s="11"/>
      <c r="Z23" s="11"/>
    </row>
    <row r="24">
      <c r="A24" s="8">
        <v>44222.32815972222</v>
      </c>
      <c r="B24" s="9" t="str">
        <f>HYPERLINK("https://twitter.com/Badsport_Javi","@Badsport_Javi")</f>
        <v>@Badsport_Javi</v>
      </c>
      <c r="C24" s="10" t="s">
        <v>482</v>
      </c>
      <c r="D24" s="10" t="s">
        <v>483</v>
      </c>
      <c r="E24" s="9" t="str">
        <f>HYPERLINK("https://twitter.com/Badsport_Javi/status/1354094884748206080","1354094884748206080")</f>
        <v>1354094884748206080</v>
      </c>
      <c r="F24" s="12" t="s">
        <v>484</v>
      </c>
      <c r="G24" s="11"/>
      <c r="H24" s="11"/>
      <c r="I24" s="13">
        <v>0.0</v>
      </c>
      <c r="J24" s="13">
        <v>1.0</v>
      </c>
      <c r="K24" s="9" t="str">
        <f>HYPERLINK("https://mobile.twitter.com","Twitter Web App")</f>
        <v>Twitter Web App</v>
      </c>
      <c r="L24" s="14">
        <v>82.0</v>
      </c>
      <c r="M24" s="14">
        <v>141.0</v>
      </c>
      <c r="N24" s="14">
        <v>0.0</v>
      </c>
      <c r="O24" s="15"/>
      <c r="P24" s="16">
        <v>44198.16903935185</v>
      </c>
      <c r="Q24" s="10" t="s">
        <v>485</v>
      </c>
      <c r="R24" s="10" t="s">
        <v>486</v>
      </c>
      <c r="S24" s="11"/>
      <c r="T24" s="11"/>
      <c r="U24" s="17" t="str">
        <f>HYPERLINK("https://pbs.twimg.com/profile_images/1346098406738055175/lNSv8VTs.jpg","View")</f>
        <v>View</v>
      </c>
      <c r="V24" s="11"/>
      <c r="W24" s="11"/>
      <c r="X24" s="11"/>
      <c r="Y24" s="11"/>
      <c r="Z24" s="11"/>
    </row>
    <row r="25">
      <c r="A25" s="8">
        <v>44222.316030092596</v>
      </c>
      <c r="B25" s="9" t="str">
        <f>HYPERLINK("https://twitter.com/cafeinomanoX","@cafeinomanoX")</f>
        <v>@cafeinomanoX</v>
      </c>
      <c r="C25" s="10" t="s">
        <v>421</v>
      </c>
      <c r="D25" s="10" t="s">
        <v>487</v>
      </c>
      <c r="E25" s="9" t="str">
        <f>HYPERLINK("https://twitter.com/cafeinomanoX/status/1354090491911016448","1354090491911016448")</f>
        <v>1354090491911016448</v>
      </c>
      <c r="F25" s="11"/>
      <c r="G25" s="11"/>
      <c r="H25" s="11"/>
      <c r="I25" s="13">
        <v>0.0</v>
      </c>
      <c r="J25" s="13">
        <v>11.0</v>
      </c>
      <c r="K25" s="9" t="str">
        <f>HYPERLINK("http://twitter.com/download/android","Twitter for Android")</f>
        <v>Twitter for Android</v>
      </c>
      <c r="L25" s="14">
        <v>1084.0</v>
      </c>
      <c r="M25" s="14">
        <v>1085.0</v>
      </c>
      <c r="N25" s="14">
        <v>0.0</v>
      </c>
      <c r="O25" s="15"/>
      <c r="P25" s="16">
        <v>42233.071284722224</v>
      </c>
      <c r="Q25" s="10" t="s">
        <v>425</v>
      </c>
      <c r="R25" s="10" t="s">
        <v>426</v>
      </c>
      <c r="S25" s="11"/>
      <c r="T25" s="11"/>
      <c r="U25" s="17" t="str">
        <f>HYPERLINK("https://pbs.twimg.com/profile_images/1353343567171883009/0X1kCweo.jpg","View")</f>
        <v>View</v>
      </c>
      <c r="V25" s="11"/>
      <c r="W25" s="11"/>
      <c r="X25" s="11"/>
      <c r="Y25" s="11"/>
      <c r="Z25" s="11"/>
    </row>
    <row r="26">
      <c r="A26" s="8">
        <v>44222.299687499995</v>
      </c>
      <c r="B26" s="9" t="str">
        <f>HYPERLINK("https://twitter.com/ferreyaragon","@ferreyaragon")</f>
        <v>@ferreyaragon</v>
      </c>
      <c r="C26" s="10" t="s">
        <v>488</v>
      </c>
      <c r="D26" s="10" t="s">
        <v>489</v>
      </c>
      <c r="E26" s="9" t="str">
        <f>HYPERLINK("https://twitter.com/ferreyaragon/status/1354084570283520010","1354084570283520010")</f>
        <v>1354084570283520010</v>
      </c>
      <c r="F26" s="11"/>
      <c r="G26" s="11"/>
      <c r="H26" s="11"/>
      <c r="I26" s="13">
        <v>0.0</v>
      </c>
      <c r="J26" s="13">
        <v>2.0</v>
      </c>
      <c r="K26" s="9" t="str">
        <f t="shared" ref="K26:K27" si="5">HYPERLINK("http://twitter.com/download/iphone","Twitter for iPhone")</f>
        <v>Twitter for iPhone</v>
      </c>
      <c r="L26" s="14">
        <v>1355.0</v>
      </c>
      <c r="M26" s="14">
        <v>3191.0</v>
      </c>
      <c r="N26" s="14">
        <v>1.0</v>
      </c>
      <c r="O26" s="15"/>
      <c r="P26" s="16">
        <v>43013.339733796296</v>
      </c>
      <c r="Q26" s="10" t="s">
        <v>490</v>
      </c>
      <c r="R26" s="11"/>
      <c r="S26" s="11"/>
      <c r="T26" s="11"/>
      <c r="U26" s="17" t="str">
        <f>HYPERLINK("https://pbs.twimg.com/profile_images/1261344878254010370/BhDkYZm4.jpg","View")</f>
        <v>View</v>
      </c>
      <c r="V26" s="11"/>
      <c r="W26" s="11"/>
      <c r="X26" s="11"/>
      <c r="Y26" s="11"/>
      <c r="Z26" s="11"/>
    </row>
    <row r="27">
      <c r="A27" s="8">
        <v>44222.282997685186</v>
      </c>
      <c r="B27" s="9" t="str">
        <f>HYPERLINK("https://twitter.com/Valegoitia7","@Valegoitia7")</f>
        <v>@Valegoitia7</v>
      </c>
      <c r="C27" s="10" t="s">
        <v>491</v>
      </c>
      <c r="D27" s="10" t="s">
        <v>492</v>
      </c>
      <c r="E27" s="9" t="str">
        <f>HYPERLINK("https://twitter.com/Valegoitia7/status/1354078520046182401","1354078520046182401")</f>
        <v>1354078520046182401</v>
      </c>
      <c r="F27" s="11"/>
      <c r="G27" s="11"/>
      <c r="H27" s="11"/>
      <c r="I27" s="13">
        <v>0.0</v>
      </c>
      <c r="J27" s="13">
        <v>0.0</v>
      </c>
      <c r="K27" s="9" t="str">
        <f t="shared" si="5"/>
        <v>Twitter for iPhone</v>
      </c>
      <c r="L27" s="14">
        <v>1274.0</v>
      </c>
      <c r="M27" s="14">
        <v>2969.0</v>
      </c>
      <c r="N27" s="14">
        <v>3.0</v>
      </c>
      <c r="O27" s="15"/>
      <c r="P27" s="16">
        <v>43058.64127314815</v>
      </c>
      <c r="Q27" s="10" t="s">
        <v>493</v>
      </c>
      <c r="R27" s="10" t="s">
        <v>494</v>
      </c>
      <c r="S27" s="12" t="s">
        <v>495</v>
      </c>
      <c r="T27" s="11"/>
      <c r="U27" s="17" t="str">
        <f>HYPERLINK("https://pbs.twimg.com/profile_images/1349949092269596672/7sqU4ksc.jpg","View")</f>
        <v>View</v>
      </c>
      <c r="V27" s="11"/>
      <c r="W27" s="11"/>
      <c r="X27" s="11"/>
      <c r="Y27" s="11"/>
      <c r="Z27" s="11"/>
    </row>
    <row r="28">
      <c r="A28" s="8">
        <v>44222.276550925926</v>
      </c>
      <c r="B28" s="9" t="str">
        <f>HYPERLINK("https://twitter.com/pascual_moya","@pascual_moya")</f>
        <v>@pascual_moya</v>
      </c>
      <c r="C28" s="10" t="s">
        <v>496</v>
      </c>
      <c r="D28" s="10" t="s">
        <v>497</v>
      </c>
      <c r="E28" s="9" t="str">
        <f>HYPERLINK("https://twitter.com/pascual_moya/status/1354076182929616925","1354076182929616925")</f>
        <v>1354076182929616925</v>
      </c>
      <c r="F28" s="12" t="s">
        <v>498</v>
      </c>
      <c r="G28" s="12" t="s">
        <v>499</v>
      </c>
      <c r="H28" s="11"/>
      <c r="I28" s="13">
        <v>1.0</v>
      </c>
      <c r="J28" s="13">
        <v>2.0</v>
      </c>
      <c r="K28" s="9" t="str">
        <f t="shared" ref="K28:K29" si="6">HYPERLINK("http://twitter.com/download/android","Twitter for Android")</f>
        <v>Twitter for Android</v>
      </c>
      <c r="L28" s="14">
        <v>517.0</v>
      </c>
      <c r="M28" s="14">
        <v>104.0</v>
      </c>
      <c r="N28" s="14">
        <v>3.0</v>
      </c>
      <c r="O28" s="15"/>
      <c r="P28" s="16">
        <v>40623.60822916667</v>
      </c>
      <c r="Q28" s="10" t="s">
        <v>500</v>
      </c>
      <c r="R28" s="10" t="s">
        <v>501</v>
      </c>
      <c r="S28" s="11"/>
      <c r="T28" s="11"/>
      <c r="U28" s="17" t="str">
        <f>HYPERLINK("https://pbs.twimg.com/profile_images/1345466740227108864/phEGdQ8-.jpg","View")</f>
        <v>View</v>
      </c>
      <c r="V28" s="11"/>
      <c r="W28" s="11"/>
      <c r="X28" s="11"/>
      <c r="Y28" s="11"/>
      <c r="Z28" s="11"/>
    </row>
    <row r="29">
      <c r="A29" s="8">
        <v>44222.27155092593</v>
      </c>
      <c r="B29" s="9" t="str">
        <f>HYPERLINK("https://twitter.com/xarcenciell","@xarcenciell")</f>
        <v>@xarcenciell</v>
      </c>
      <c r="C29" s="10" t="s">
        <v>502</v>
      </c>
      <c r="D29" s="10" t="s">
        <v>503</v>
      </c>
      <c r="E29" s="9" t="str">
        <f>HYPERLINK("https://twitter.com/xarcenciell/status/1354074373506924551","1354074373506924551")</f>
        <v>1354074373506924551</v>
      </c>
      <c r="F29" s="11"/>
      <c r="G29" s="11"/>
      <c r="H29" s="11"/>
      <c r="I29" s="13">
        <v>6.0</v>
      </c>
      <c r="J29" s="13">
        <v>0.0</v>
      </c>
      <c r="K29" s="9" t="str">
        <f t="shared" si="6"/>
        <v>Twitter for Android</v>
      </c>
      <c r="L29" s="14">
        <v>0.0</v>
      </c>
      <c r="M29" s="14">
        <v>3.0</v>
      </c>
      <c r="N29" s="14">
        <v>0.0</v>
      </c>
      <c r="O29" s="15"/>
      <c r="P29" s="16">
        <v>44138.54394675926</v>
      </c>
      <c r="Q29" s="10" t="s">
        <v>504</v>
      </c>
      <c r="R29" s="10" t="s">
        <v>505</v>
      </c>
      <c r="S29" s="11"/>
      <c r="T29" s="11"/>
      <c r="U29" s="17" t="str">
        <f>HYPERLINK("https://pbs.twimg.com/profile_images/1323732759555223554/w9BwbBhv.jpg","View")</f>
        <v>View</v>
      </c>
      <c r="V29" s="11"/>
      <c r="W29" s="11"/>
      <c r="X29" s="11"/>
      <c r="Y29" s="11"/>
      <c r="Z29" s="11"/>
    </row>
    <row r="30">
      <c r="A30" s="8">
        <v>44222.24493055556</v>
      </c>
      <c r="B30" s="9" t="str">
        <f>HYPERLINK("https://twitter.com/WyattSolberg","@WyattSolberg")</f>
        <v>@WyattSolberg</v>
      </c>
      <c r="C30" s="10" t="s">
        <v>506</v>
      </c>
      <c r="D30" s="10" t="s">
        <v>507</v>
      </c>
      <c r="E30" s="9" t="str">
        <f>HYPERLINK("https://twitter.com/WyattSolberg/status/1354064723625578496","1354064723625578496")</f>
        <v>1354064723625578496</v>
      </c>
      <c r="F30" s="11"/>
      <c r="G30" s="11"/>
      <c r="H30" s="11"/>
      <c r="I30" s="13">
        <v>0.0</v>
      </c>
      <c r="J30" s="13">
        <v>1.0</v>
      </c>
      <c r="K30" s="9" t="str">
        <f>HYPERLINK("http://twitter.com/download/iphone","Twitter for iPhone")</f>
        <v>Twitter for iPhone</v>
      </c>
      <c r="L30" s="14">
        <v>1145.0</v>
      </c>
      <c r="M30" s="14">
        <v>731.0</v>
      </c>
      <c r="N30" s="14">
        <v>35.0</v>
      </c>
      <c r="O30" s="15"/>
      <c r="P30" s="16">
        <v>43856.1578587963</v>
      </c>
      <c r="Q30" s="10" t="s">
        <v>508</v>
      </c>
      <c r="R30" s="10" t="s">
        <v>509</v>
      </c>
      <c r="S30" s="12" t="s">
        <v>510</v>
      </c>
      <c r="T30" s="11"/>
      <c r="U30" s="17" t="str">
        <f>HYPERLINK("https://pbs.twimg.com/profile_images/1354067602000277504/ADtiXSPu.jpg","View")</f>
        <v>View</v>
      </c>
      <c r="V30" s="11"/>
      <c r="W30" s="11"/>
      <c r="X30" s="11"/>
      <c r="Y30" s="11"/>
      <c r="Z30" s="11"/>
    </row>
    <row r="31">
      <c r="A31" s="8">
        <v>44222.21450231482</v>
      </c>
      <c r="B31" s="9" t="str">
        <f>HYPERLINK("https://twitter.com/re_pvta","@re_pvta")</f>
        <v>@re_pvta</v>
      </c>
      <c r="C31" s="10" t="s">
        <v>511</v>
      </c>
      <c r="D31" s="10" t="s">
        <v>512</v>
      </c>
      <c r="E31" s="9" t="str">
        <f>HYPERLINK("https://twitter.com/re_pvta/status/1354053698549391360","1354053698549391360")</f>
        <v>1354053698549391360</v>
      </c>
      <c r="F31" s="11"/>
      <c r="G31" s="11"/>
      <c r="H31" s="11"/>
      <c r="I31" s="13">
        <v>0.0</v>
      </c>
      <c r="J31" s="13">
        <v>0.0</v>
      </c>
      <c r="K31" s="9" t="str">
        <f t="shared" ref="K31:K32" si="7">HYPERLINK("http://twitter.com/download/android","Twitter for Android")</f>
        <v>Twitter for Android</v>
      </c>
      <c r="L31" s="14">
        <v>0.0</v>
      </c>
      <c r="M31" s="14">
        <v>5.0</v>
      </c>
      <c r="N31" s="14">
        <v>0.0</v>
      </c>
      <c r="O31" s="15"/>
      <c r="P31" s="16">
        <v>44208.47778935185</v>
      </c>
      <c r="Q31" s="11"/>
      <c r="R31" s="11"/>
      <c r="S31" s="11"/>
      <c r="T31" s="11"/>
      <c r="U31" s="17" t="str">
        <f>HYPERLINK("https://pbs.twimg.com/profile_images/1349077451821998081/4wGu7BbG.jpg","View")</f>
        <v>View</v>
      </c>
      <c r="V31" s="11"/>
      <c r="W31" s="11"/>
      <c r="X31" s="11"/>
      <c r="Y31" s="11"/>
      <c r="Z31" s="11"/>
    </row>
    <row r="32">
      <c r="A32" s="8">
        <v>44222.198229166665</v>
      </c>
      <c r="B32" s="9" t="str">
        <f>HYPERLINK("https://twitter.com/farodelanoche","@farodelanoche")</f>
        <v>@farodelanoche</v>
      </c>
      <c r="C32" s="10" t="s">
        <v>513</v>
      </c>
      <c r="D32" s="10" t="s">
        <v>514</v>
      </c>
      <c r="E32" s="9" t="str">
        <f>HYPERLINK("https://twitter.com/farodelanoche/status/1354047799453769728","1354047799453769728")</f>
        <v>1354047799453769728</v>
      </c>
      <c r="F32" s="11"/>
      <c r="G32" s="11"/>
      <c r="H32" s="11"/>
      <c r="I32" s="13">
        <v>0.0</v>
      </c>
      <c r="J32" s="13">
        <v>0.0</v>
      </c>
      <c r="K32" s="9" t="str">
        <f t="shared" si="7"/>
        <v>Twitter for Android</v>
      </c>
      <c r="L32" s="14">
        <v>33.0</v>
      </c>
      <c r="M32" s="14">
        <v>28.0</v>
      </c>
      <c r="N32" s="14">
        <v>1.0</v>
      </c>
      <c r="O32" s="15"/>
      <c r="P32" s="16">
        <v>40849.55269675926</v>
      </c>
      <c r="Q32" s="10" t="s">
        <v>515</v>
      </c>
      <c r="R32" s="11"/>
      <c r="S32" s="11"/>
      <c r="T32" s="11"/>
      <c r="U32" s="17" t="str">
        <f>HYPERLINK("https://pbs.twimg.com/profile_images/1317771718967107586/pzPdwLwb.jpg","View")</f>
        <v>View</v>
      </c>
      <c r="V32" s="11"/>
      <c r="W32" s="11"/>
      <c r="X32" s="11"/>
      <c r="Y32" s="11"/>
      <c r="Z32" s="11"/>
    </row>
    <row r="33">
      <c r="A33" s="8">
        <v>44222.1891087963</v>
      </c>
      <c r="B33" s="9" t="str">
        <f>HYPERLINK("https://twitter.com/Horaciotwd","@Horaciotwd")</f>
        <v>@Horaciotwd</v>
      </c>
      <c r="C33" s="10" t="s">
        <v>516</v>
      </c>
      <c r="D33" s="10" t="s">
        <v>517</v>
      </c>
      <c r="E33" s="9" t="str">
        <f>HYPERLINK("https://twitter.com/Horaciotwd/status/1354044494191226880","1354044494191226880")</f>
        <v>1354044494191226880</v>
      </c>
      <c r="F33" s="11"/>
      <c r="G33" s="12" t="s">
        <v>518</v>
      </c>
      <c r="H33" s="11"/>
      <c r="I33" s="13">
        <v>0.0</v>
      </c>
      <c r="J33" s="13">
        <v>0.0</v>
      </c>
      <c r="K33" s="9" t="str">
        <f t="shared" ref="K33:K35" si="8">HYPERLINK("http://twitter.com/download/iphone","Twitter for iPhone")</f>
        <v>Twitter for iPhone</v>
      </c>
      <c r="L33" s="14">
        <v>681.0</v>
      </c>
      <c r="M33" s="14">
        <v>1408.0</v>
      </c>
      <c r="N33" s="14">
        <v>1.0</v>
      </c>
      <c r="O33" s="15"/>
      <c r="P33" s="16">
        <v>41381.73440972222</v>
      </c>
      <c r="Q33" s="10" t="s">
        <v>519</v>
      </c>
      <c r="R33" s="10" t="s">
        <v>520</v>
      </c>
      <c r="S33" s="11"/>
      <c r="T33" s="11"/>
      <c r="U33" s="17" t="str">
        <f>HYPERLINK("https://pbs.twimg.com/profile_images/1323809936502116353/eKzpZ2Ll.jpg","View")</f>
        <v>View</v>
      </c>
      <c r="V33" s="11"/>
      <c r="W33" s="11"/>
      <c r="X33" s="11"/>
      <c r="Y33" s="11"/>
      <c r="Z33" s="11"/>
    </row>
    <row r="34">
      <c r="A34" s="8">
        <v>44222.187048611115</v>
      </c>
      <c r="B34" s="9" t="str">
        <f>HYPERLINK("https://twitter.com/kakafu2020","@kakafu2020")</f>
        <v>@kakafu2020</v>
      </c>
      <c r="C34" s="10" t="s">
        <v>521</v>
      </c>
      <c r="D34" s="10" t="s">
        <v>522</v>
      </c>
      <c r="E34" s="9" t="str">
        <f>HYPERLINK("https://twitter.com/kakafu2020/status/1354043751623241730","1354043751623241730")</f>
        <v>1354043751623241730</v>
      </c>
      <c r="F34" s="11"/>
      <c r="G34" s="11"/>
      <c r="H34" s="11"/>
      <c r="I34" s="13">
        <v>0.0</v>
      </c>
      <c r="J34" s="13">
        <v>0.0</v>
      </c>
      <c r="K34" s="9" t="str">
        <f t="shared" si="8"/>
        <v>Twitter for iPhone</v>
      </c>
      <c r="L34" s="14">
        <v>602.0</v>
      </c>
      <c r="M34" s="14">
        <v>795.0</v>
      </c>
      <c r="N34" s="14">
        <v>1.0</v>
      </c>
      <c r="O34" s="15"/>
      <c r="P34" s="16">
        <v>44125.43290509259</v>
      </c>
      <c r="Q34" s="11"/>
      <c r="R34" s="10" t="s">
        <v>523</v>
      </c>
      <c r="S34" s="11"/>
      <c r="T34" s="11"/>
      <c r="U34" s="17" t="str">
        <f>HYPERLINK("https://pbs.twimg.com/profile_images/1351622867553841156/MTK77Iy_.jpg","View")</f>
        <v>View</v>
      </c>
      <c r="V34" s="11"/>
      <c r="W34" s="11"/>
      <c r="X34" s="11"/>
      <c r="Y34" s="11"/>
      <c r="Z34" s="11"/>
    </row>
    <row r="35">
      <c r="A35" s="8">
        <v>44222.176041666666</v>
      </c>
      <c r="B35" s="9" t="str">
        <f>HYPERLINK("https://twitter.com/InigovanEyck","@InigovanEyck")</f>
        <v>@InigovanEyck</v>
      </c>
      <c r="C35" s="10" t="s">
        <v>524</v>
      </c>
      <c r="D35" s="10" t="s">
        <v>525</v>
      </c>
      <c r="E35" s="9" t="str">
        <f>HYPERLINK("https://twitter.com/InigovanEyck/status/1354039759706972161","1354039759706972161")</f>
        <v>1354039759706972161</v>
      </c>
      <c r="F35" s="11"/>
      <c r="G35" s="11"/>
      <c r="H35" s="11"/>
      <c r="I35" s="13">
        <v>36.0</v>
      </c>
      <c r="J35" s="13">
        <v>87.0</v>
      </c>
      <c r="K35" s="9" t="str">
        <f t="shared" si="8"/>
        <v>Twitter for iPhone</v>
      </c>
      <c r="L35" s="14">
        <v>5515.0</v>
      </c>
      <c r="M35" s="14">
        <v>1577.0</v>
      </c>
      <c r="N35" s="14">
        <v>25.0</v>
      </c>
      <c r="O35" s="15"/>
      <c r="P35" s="16">
        <v>40219.507372685184</v>
      </c>
      <c r="Q35" s="10" t="s">
        <v>526</v>
      </c>
      <c r="R35" s="10" t="s">
        <v>527</v>
      </c>
      <c r="S35" s="11"/>
      <c r="T35" s="11"/>
      <c r="U35" s="17" t="str">
        <f>HYPERLINK("https://pbs.twimg.com/profile_images/864237511677267969/wPkJv2B3.jpg","View")</f>
        <v>View</v>
      </c>
      <c r="V35" s="11"/>
      <c r="W35" s="11"/>
      <c r="X35" s="11"/>
      <c r="Y35" s="11"/>
      <c r="Z35" s="11"/>
    </row>
    <row r="36">
      <c r="A36" s="8">
        <v>44222.1658449074</v>
      </c>
      <c r="B36" s="9" t="str">
        <f>HYPERLINK("https://twitter.com/javier_craq","@javier_craq")</f>
        <v>@javier_craq</v>
      </c>
      <c r="C36" s="10" t="s">
        <v>528</v>
      </c>
      <c r="D36" s="10" t="s">
        <v>529</v>
      </c>
      <c r="E36" s="9" t="str">
        <f>HYPERLINK("https://twitter.com/javier_craq/status/1354036066618122240","1354036066618122240")</f>
        <v>1354036066618122240</v>
      </c>
      <c r="F36" s="11"/>
      <c r="G36" s="11"/>
      <c r="H36" s="11"/>
      <c r="I36" s="13">
        <v>0.0</v>
      </c>
      <c r="J36" s="13">
        <v>7.0</v>
      </c>
      <c r="K36" s="9" t="str">
        <f>HYPERLINK("http://twitter.com/download/android","Twitter for Android")</f>
        <v>Twitter for Android</v>
      </c>
      <c r="L36" s="14">
        <v>34.0</v>
      </c>
      <c r="M36" s="14">
        <v>163.0</v>
      </c>
      <c r="N36" s="14">
        <v>0.0</v>
      </c>
      <c r="O36" s="15"/>
      <c r="P36" s="16">
        <v>43488.629652777774</v>
      </c>
      <c r="Q36" s="11"/>
      <c r="R36" s="10" t="s">
        <v>530</v>
      </c>
      <c r="S36" s="12" t="s">
        <v>531</v>
      </c>
      <c r="T36" s="11"/>
      <c r="U36" s="17" t="str">
        <f>HYPERLINK("https://pbs.twimg.com/profile_images/1320919433821495297/qH7I1e95.jpg","View")</f>
        <v>View</v>
      </c>
      <c r="V36" s="11"/>
      <c r="W36" s="11"/>
      <c r="X36" s="11"/>
      <c r="Y36" s="11"/>
      <c r="Z36" s="11"/>
    </row>
    <row r="37">
      <c r="A37" s="8">
        <v>44222.150972222225</v>
      </c>
      <c r="B37" s="9" t="str">
        <f>HYPERLINK("https://twitter.com/MdeMikky","@MdeMikky")</f>
        <v>@MdeMikky</v>
      </c>
      <c r="C37" s="10" t="s">
        <v>532</v>
      </c>
      <c r="D37" s="10" t="s">
        <v>533</v>
      </c>
      <c r="E37" s="9" t="str">
        <f>HYPERLINK("https://twitter.com/MdeMikky/status/1354030675352031232","1354030675352031232")</f>
        <v>1354030675352031232</v>
      </c>
      <c r="F37" s="10" t="s">
        <v>534</v>
      </c>
      <c r="G37" s="12" t="s">
        <v>535</v>
      </c>
      <c r="H37" s="11"/>
      <c r="I37" s="13">
        <v>0.0</v>
      </c>
      <c r="J37" s="13">
        <v>1.0</v>
      </c>
      <c r="K37" s="9" t="str">
        <f>HYPERLINK("https://mobile.twitter.com","Twitter Web App")</f>
        <v>Twitter Web App</v>
      </c>
      <c r="L37" s="14">
        <v>1094.0</v>
      </c>
      <c r="M37" s="14">
        <v>628.0</v>
      </c>
      <c r="N37" s="14">
        <v>25.0</v>
      </c>
      <c r="O37" s="15"/>
      <c r="P37" s="16">
        <v>40658.309953703705</v>
      </c>
      <c r="Q37" s="10" t="s">
        <v>536</v>
      </c>
      <c r="R37" s="10" t="s">
        <v>537</v>
      </c>
      <c r="S37" s="12" t="s">
        <v>538</v>
      </c>
      <c r="T37" s="11"/>
      <c r="U37" s="17" t="str">
        <f>HYPERLINK("https://pbs.twimg.com/profile_images/1335930685908021250/nq0qd25R.jpg","View")</f>
        <v>View</v>
      </c>
      <c r="V37" s="11"/>
      <c r="W37" s="11"/>
      <c r="X37" s="11"/>
      <c r="Y37" s="11"/>
      <c r="Z37" s="11"/>
    </row>
    <row r="38">
      <c r="A38" s="8">
        <v>44222.139456018514</v>
      </c>
      <c r="B38" s="9" t="str">
        <f>HYPERLINK("https://twitter.com/sheltonclyde9","@sheltonclyde9")</f>
        <v>@sheltonclyde9</v>
      </c>
      <c r="C38" s="10" t="s">
        <v>539</v>
      </c>
      <c r="D38" s="10" t="s">
        <v>540</v>
      </c>
      <c r="E38" s="9" t="str">
        <f>HYPERLINK("https://twitter.com/sheltonclyde9/status/1354026503508549633","1354026503508549633")</f>
        <v>1354026503508549633</v>
      </c>
      <c r="F38" s="11"/>
      <c r="G38" s="12" t="s">
        <v>541</v>
      </c>
      <c r="H38" s="11"/>
      <c r="I38" s="13">
        <v>44.0</v>
      </c>
      <c r="J38" s="13">
        <v>68.0</v>
      </c>
      <c r="K38" s="9" t="str">
        <f t="shared" ref="K38:K40" si="9">HYPERLINK("http://twitter.com/download/android","Twitter for Android")</f>
        <v>Twitter for Android</v>
      </c>
      <c r="L38" s="14">
        <v>2362.0</v>
      </c>
      <c r="M38" s="14">
        <v>1064.0</v>
      </c>
      <c r="N38" s="14">
        <v>3.0</v>
      </c>
      <c r="O38" s="15"/>
      <c r="P38" s="16">
        <v>44168.07454861111</v>
      </c>
      <c r="Q38" s="10" t="s">
        <v>542</v>
      </c>
      <c r="R38" s="10" t="s">
        <v>543</v>
      </c>
      <c r="S38" s="11"/>
      <c r="T38" s="11"/>
      <c r="U38" s="17" t="str">
        <f>HYPERLINK("https://pbs.twimg.com/profile_images/1334434543076564992/Q4kfkgiO.jpg","View")</f>
        <v>View</v>
      </c>
      <c r="V38" s="11"/>
      <c r="W38" s="11"/>
      <c r="X38" s="11"/>
      <c r="Y38" s="11"/>
      <c r="Z38" s="11"/>
    </row>
    <row r="39">
      <c r="A39" s="8">
        <v>44222.138703703706</v>
      </c>
      <c r="B39" s="9" t="str">
        <f>HYPERLINK("https://twitter.com/Carlosiden2225","@Carlosiden2225")</f>
        <v>@Carlosiden2225</v>
      </c>
      <c r="C39" s="10" t="s">
        <v>544</v>
      </c>
      <c r="D39" s="10" t="s">
        <v>545</v>
      </c>
      <c r="E39" s="9" t="str">
        <f>HYPERLINK("https://twitter.com/Carlosiden2225/status/1354026228689334272","1354026228689334272")</f>
        <v>1354026228689334272</v>
      </c>
      <c r="F39" s="10" t="s">
        <v>546</v>
      </c>
      <c r="G39" s="11"/>
      <c r="H39" s="11"/>
      <c r="I39" s="13">
        <v>4.0</v>
      </c>
      <c r="J39" s="13">
        <v>6.0</v>
      </c>
      <c r="K39" s="9" t="str">
        <f t="shared" si="9"/>
        <v>Twitter for Android</v>
      </c>
      <c r="L39" s="14">
        <v>5204.0</v>
      </c>
      <c r="M39" s="14">
        <v>5300.0</v>
      </c>
      <c r="N39" s="14">
        <v>3.0</v>
      </c>
      <c r="O39" s="15"/>
      <c r="P39" s="16">
        <v>43630.07928240741</v>
      </c>
      <c r="Q39" s="10" t="s">
        <v>547</v>
      </c>
      <c r="R39" s="10" t="s">
        <v>548</v>
      </c>
      <c r="S39" s="11"/>
      <c r="T39" s="11"/>
      <c r="U39" s="17" t="str">
        <f>HYPERLINK("https://pbs.twimg.com/profile_images/1309914654156652547/uUMWe05H.jpg","View")</f>
        <v>View</v>
      </c>
      <c r="V39" s="11"/>
      <c r="W39" s="11"/>
      <c r="X39" s="11"/>
      <c r="Y39" s="11"/>
      <c r="Z39" s="11"/>
    </row>
    <row r="40">
      <c r="A40" s="8">
        <v>44222.11677083334</v>
      </c>
      <c r="B40" s="9" t="str">
        <f>HYPERLINK("https://twitter.com/Jangelfd","@Jangelfd")</f>
        <v>@Jangelfd</v>
      </c>
      <c r="C40" s="10" t="s">
        <v>549</v>
      </c>
      <c r="D40" s="10" t="s">
        <v>550</v>
      </c>
      <c r="E40" s="9" t="str">
        <f>HYPERLINK("https://twitter.com/Jangelfd/status/1354018283171807233","1354018283171807233")</f>
        <v>1354018283171807233</v>
      </c>
      <c r="F40" s="10" t="s">
        <v>551</v>
      </c>
      <c r="G40" s="11"/>
      <c r="H40" s="11"/>
      <c r="I40" s="13">
        <v>0.0</v>
      </c>
      <c r="J40" s="13">
        <v>0.0</v>
      </c>
      <c r="K40" s="9" t="str">
        <f t="shared" si="9"/>
        <v>Twitter for Android</v>
      </c>
      <c r="L40" s="14">
        <v>483.0</v>
      </c>
      <c r="M40" s="14">
        <v>333.0</v>
      </c>
      <c r="N40" s="14">
        <v>6.0</v>
      </c>
      <c r="O40" s="15"/>
      <c r="P40" s="16">
        <v>39997.1827199074</v>
      </c>
      <c r="Q40" s="10" t="s">
        <v>515</v>
      </c>
      <c r="R40" s="10" t="s">
        <v>552</v>
      </c>
      <c r="S40" s="12" t="s">
        <v>553</v>
      </c>
      <c r="T40" s="11"/>
      <c r="U40" s="17" t="str">
        <f>HYPERLINK("https://pbs.twimg.com/profile_images/1348270469695369220/gNblb1Ld.jpg","View")</f>
        <v>View</v>
      </c>
      <c r="V40" s="11"/>
      <c r="W40" s="11"/>
      <c r="X40" s="11"/>
      <c r="Y40" s="11"/>
      <c r="Z40" s="11"/>
    </row>
    <row r="41">
      <c r="A41" s="8">
        <v>44222.10936342593</v>
      </c>
      <c r="B41" s="9" t="str">
        <f>HYPERLINK("https://twitter.com/Chabacanx","@Chabacanx")</f>
        <v>@Chabacanx</v>
      </c>
      <c r="C41" s="10" t="s">
        <v>554</v>
      </c>
      <c r="D41" s="10" t="s">
        <v>555</v>
      </c>
      <c r="E41" s="9" t="str">
        <f>HYPERLINK("https://twitter.com/Chabacanx/status/1354015598624321536","1354015598624321536")</f>
        <v>1354015598624321536</v>
      </c>
      <c r="F41" s="12" t="s">
        <v>556</v>
      </c>
      <c r="G41" s="11"/>
      <c r="H41" s="11"/>
      <c r="I41" s="13">
        <v>0.0</v>
      </c>
      <c r="J41" s="13">
        <v>1.0</v>
      </c>
      <c r="K41" s="9" t="str">
        <f t="shared" ref="K41:K44" si="10">HYPERLINK("http://twitter.com/download/iphone","Twitter for iPhone")</f>
        <v>Twitter for iPhone</v>
      </c>
      <c r="L41" s="14">
        <v>1814.0</v>
      </c>
      <c r="M41" s="14">
        <v>419.0</v>
      </c>
      <c r="N41" s="14">
        <v>9.0</v>
      </c>
      <c r="O41" s="15"/>
      <c r="P41" s="16">
        <v>42172.31280092592</v>
      </c>
      <c r="Q41" s="11"/>
      <c r="R41" s="11"/>
      <c r="S41" s="11"/>
      <c r="T41" s="11"/>
      <c r="U41" s="17" t="str">
        <f>HYPERLINK("https://pbs.twimg.com/profile_images/1324531311797772288/RBoH8mCS.jpg","View")</f>
        <v>View</v>
      </c>
      <c r="V41" s="11"/>
      <c r="W41" s="11"/>
      <c r="X41" s="11"/>
      <c r="Y41" s="11"/>
      <c r="Z41" s="11"/>
    </row>
    <row r="42">
      <c r="A42" s="8">
        <v>44222.09597222222</v>
      </c>
      <c r="B42" s="9" t="str">
        <f>HYPERLINK("https://twitter.com/danielagares","@danielagares")</f>
        <v>@danielagares</v>
      </c>
      <c r="C42" s="10" t="s">
        <v>557</v>
      </c>
      <c r="D42" s="10" t="s">
        <v>558</v>
      </c>
      <c r="E42" s="9" t="str">
        <f>HYPERLINK("https://twitter.com/danielagares/status/1354010746015928320","1354010746015928320")</f>
        <v>1354010746015928320</v>
      </c>
      <c r="F42" s="10" t="s">
        <v>559</v>
      </c>
      <c r="G42" s="12" t="s">
        <v>560</v>
      </c>
      <c r="H42" s="11"/>
      <c r="I42" s="13">
        <v>1.0</v>
      </c>
      <c r="J42" s="13">
        <v>10.0</v>
      </c>
      <c r="K42" s="9" t="str">
        <f t="shared" si="10"/>
        <v>Twitter for iPhone</v>
      </c>
      <c r="L42" s="14">
        <v>891.0</v>
      </c>
      <c r="M42" s="14">
        <v>1225.0</v>
      </c>
      <c r="N42" s="14">
        <v>1.0</v>
      </c>
      <c r="O42" s="15"/>
      <c r="P42" s="16">
        <v>40883.569606481484</v>
      </c>
      <c r="Q42" s="10" t="s">
        <v>561</v>
      </c>
      <c r="R42" s="10" t="s">
        <v>562</v>
      </c>
      <c r="S42" s="11"/>
      <c r="T42" s="11"/>
      <c r="U42" s="17" t="str">
        <f>HYPERLINK("https://pbs.twimg.com/profile_images/1232122188096032768/PRXaGlcP.jpg","View")</f>
        <v>View</v>
      </c>
      <c r="V42" s="11"/>
      <c r="W42" s="11"/>
      <c r="X42" s="11"/>
      <c r="Y42" s="11"/>
      <c r="Z42" s="11"/>
    </row>
    <row r="43">
      <c r="A43" s="8">
        <v>44222.03836805555</v>
      </c>
      <c r="B43" s="9" t="str">
        <f>HYPERLINK("https://twitter.com/condepalatino","@condepalatino")</f>
        <v>@condepalatino</v>
      </c>
      <c r="C43" s="10" t="s">
        <v>563</v>
      </c>
      <c r="D43" s="10" t="s">
        <v>564</v>
      </c>
      <c r="E43" s="9" t="str">
        <f>HYPERLINK("https://twitter.com/condepalatino/status/1353989867622060034","1353989867622060034")</f>
        <v>1353989867622060034</v>
      </c>
      <c r="F43" s="12" t="s">
        <v>565</v>
      </c>
      <c r="G43" s="11"/>
      <c r="H43" s="11"/>
      <c r="I43" s="13">
        <v>0.0</v>
      </c>
      <c r="J43" s="13">
        <v>1.0</v>
      </c>
      <c r="K43" s="9" t="str">
        <f t="shared" si="10"/>
        <v>Twitter for iPhone</v>
      </c>
      <c r="L43" s="14">
        <v>1257.0</v>
      </c>
      <c r="M43" s="14">
        <v>1208.0</v>
      </c>
      <c r="N43" s="14">
        <v>2.0</v>
      </c>
      <c r="O43" s="15"/>
      <c r="P43" s="16">
        <v>42888.50221064815</v>
      </c>
      <c r="Q43" s="10" t="s">
        <v>515</v>
      </c>
      <c r="R43" s="10" t="s">
        <v>566</v>
      </c>
      <c r="S43" s="11"/>
      <c r="T43" s="11"/>
      <c r="U43" s="17" t="str">
        <f>HYPERLINK("https://pbs.twimg.com/profile_images/902078108756578304/GVoB0s1K.jpg","View")</f>
        <v>View</v>
      </c>
      <c r="V43" s="11"/>
      <c r="W43" s="11"/>
      <c r="X43" s="11"/>
      <c r="Y43" s="11"/>
      <c r="Z43" s="11"/>
    </row>
    <row r="44">
      <c r="A44" s="8">
        <v>44222.026400462964</v>
      </c>
      <c r="B44" s="9" t="str">
        <f>HYPERLINK("https://twitter.com/WestJail","@WestJail")</f>
        <v>@WestJail</v>
      </c>
      <c r="C44" s="10" t="s">
        <v>567</v>
      </c>
      <c r="D44" s="10" t="s">
        <v>568</v>
      </c>
      <c r="E44" s="9" t="str">
        <f>HYPERLINK("https://twitter.com/WestJail/status/1353985531290529792","1353985531290529792")</f>
        <v>1353985531290529792</v>
      </c>
      <c r="F44" s="12" t="s">
        <v>569</v>
      </c>
      <c r="G44" s="12" t="s">
        <v>570</v>
      </c>
      <c r="H44" s="11"/>
      <c r="I44" s="13">
        <v>0.0</v>
      </c>
      <c r="J44" s="13">
        <v>0.0</v>
      </c>
      <c r="K44" s="9" t="str">
        <f t="shared" si="10"/>
        <v>Twitter for iPhone</v>
      </c>
      <c r="L44" s="14">
        <v>144.0</v>
      </c>
      <c r="M44" s="14">
        <v>192.0</v>
      </c>
      <c r="N44" s="14">
        <v>0.0</v>
      </c>
      <c r="O44" s="15"/>
      <c r="P44" s="16">
        <v>44149.56240740741</v>
      </c>
      <c r="Q44" s="10" t="s">
        <v>571</v>
      </c>
      <c r="R44" s="11"/>
      <c r="S44" s="11"/>
      <c r="T44" s="11"/>
      <c r="U44" s="17" t="str">
        <f>HYPERLINK("https://pbs.twimg.com/profile_images/1352006135700746241/A4T7xhwP.jpg","View")</f>
        <v>View</v>
      </c>
      <c r="V44" s="11"/>
      <c r="W44" s="11"/>
      <c r="X44" s="11"/>
      <c r="Y44" s="11"/>
      <c r="Z44" s="11"/>
    </row>
    <row r="45">
      <c r="A45" s="8">
        <v>44221.990023148144</v>
      </c>
      <c r="B45" s="9" t="str">
        <f>HYPERLINK("https://twitter.com/churripandi","@churripandi")</f>
        <v>@churripandi</v>
      </c>
      <c r="C45" s="10" t="s">
        <v>572</v>
      </c>
      <c r="D45" s="10" t="s">
        <v>573</v>
      </c>
      <c r="E45" s="9" t="str">
        <f>HYPERLINK("https://twitter.com/churripandi/status/1353972348173606912","1353972348173606912")</f>
        <v>1353972348173606912</v>
      </c>
      <c r="F45" s="11"/>
      <c r="G45" s="11"/>
      <c r="H45" s="11"/>
      <c r="I45" s="13">
        <v>4.0</v>
      </c>
      <c r="J45" s="13">
        <v>39.0</v>
      </c>
      <c r="K45" s="9" t="str">
        <f t="shared" ref="K45:K48" si="11">HYPERLINK("http://twitter.com/download/android","Twitter for Android")</f>
        <v>Twitter for Android</v>
      </c>
      <c r="L45" s="14">
        <v>3950.0</v>
      </c>
      <c r="M45" s="14">
        <v>2305.0</v>
      </c>
      <c r="N45" s="14">
        <v>6.0</v>
      </c>
      <c r="O45" s="15"/>
      <c r="P45" s="16">
        <v>41097.113645833335</v>
      </c>
      <c r="Q45" s="10" t="s">
        <v>574</v>
      </c>
      <c r="R45" s="10" t="s">
        <v>575</v>
      </c>
      <c r="S45" s="11"/>
      <c r="T45" s="11"/>
      <c r="U45" s="17" t="str">
        <f>HYPERLINK("https://pbs.twimg.com/profile_images/1288231409669341184/CI04aVKa.jpg","View")</f>
        <v>View</v>
      </c>
      <c r="V45" s="11"/>
      <c r="W45" s="11"/>
      <c r="X45" s="11"/>
      <c r="Y45" s="11"/>
      <c r="Z45" s="11"/>
    </row>
    <row r="46">
      <c r="A46" s="8">
        <v>44221.97555555556</v>
      </c>
      <c r="B46" s="9" t="str">
        <f>HYPERLINK("https://twitter.com/GertrudeFairy","@GertrudeFairy")</f>
        <v>@GertrudeFairy</v>
      </c>
      <c r="C46" s="10" t="s">
        <v>576</v>
      </c>
      <c r="D46" s="10" t="s">
        <v>577</v>
      </c>
      <c r="E46" s="9" t="str">
        <f>HYPERLINK("https://twitter.com/GertrudeFairy/status/1353967105406889984","1353967105406889984")</f>
        <v>1353967105406889984</v>
      </c>
      <c r="F46" s="12" t="s">
        <v>578</v>
      </c>
      <c r="G46" s="12" t="s">
        <v>579</v>
      </c>
      <c r="H46" s="11"/>
      <c r="I46" s="13">
        <v>0.0</v>
      </c>
      <c r="J46" s="13">
        <v>0.0</v>
      </c>
      <c r="K46" s="9" t="str">
        <f t="shared" si="11"/>
        <v>Twitter for Android</v>
      </c>
      <c r="L46" s="14">
        <v>50.0</v>
      </c>
      <c r="M46" s="14">
        <v>177.0</v>
      </c>
      <c r="N46" s="14">
        <v>0.0</v>
      </c>
      <c r="O46" s="15"/>
      <c r="P46" s="16">
        <v>43909.04771990741</v>
      </c>
      <c r="Q46" s="11"/>
      <c r="R46" s="10" t="s">
        <v>580</v>
      </c>
      <c r="S46" s="11"/>
      <c r="T46" s="11"/>
      <c r="U46" s="17" t="str">
        <f>HYPERLINK("https://pbs.twimg.com/profile_images/1250315671344254976/QnET8XOW.jpg","View")</f>
        <v>View</v>
      </c>
      <c r="V46" s="11"/>
      <c r="W46" s="11"/>
      <c r="X46" s="11"/>
      <c r="Y46" s="11"/>
      <c r="Z46" s="11"/>
    </row>
    <row r="47">
      <c r="A47" s="8">
        <v>44221.96565972222</v>
      </c>
      <c r="B47" s="9" t="str">
        <f>HYPERLINK("https://twitter.com/NoeMorales29","@NoeMorales29")</f>
        <v>@NoeMorales29</v>
      </c>
      <c r="C47" s="10" t="s">
        <v>581</v>
      </c>
      <c r="D47" s="10" t="s">
        <v>582</v>
      </c>
      <c r="E47" s="9" t="str">
        <f>HYPERLINK("https://twitter.com/NoeMorales29/status/1353963521474666499","1353963521474666499")</f>
        <v>1353963521474666499</v>
      </c>
      <c r="F47" s="11"/>
      <c r="G47" s="12" t="s">
        <v>583</v>
      </c>
      <c r="H47" s="11"/>
      <c r="I47" s="13">
        <v>0.0</v>
      </c>
      <c r="J47" s="13">
        <v>0.0</v>
      </c>
      <c r="K47" s="9" t="str">
        <f t="shared" si="11"/>
        <v>Twitter for Android</v>
      </c>
      <c r="L47" s="14">
        <v>59.0</v>
      </c>
      <c r="M47" s="14">
        <v>293.0</v>
      </c>
      <c r="N47" s="14">
        <v>1.0</v>
      </c>
      <c r="O47" s="15"/>
      <c r="P47" s="16">
        <v>42012.72560185185</v>
      </c>
      <c r="Q47" s="10" t="s">
        <v>584</v>
      </c>
      <c r="R47" s="10" t="s">
        <v>585</v>
      </c>
      <c r="S47" s="12" t="s">
        <v>586</v>
      </c>
      <c r="T47" s="11"/>
      <c r="U47" s="17" t="str">
        <f>HYPERLINK("https://pbs.twimg.com/profile_images/1230743525358047234/6SF-E3pO.jpg","View")</f>
        <v>View</v>
      </c>
      <c r="V47" s="11"/>
      <c r="W47" s="11"/>
      <c r="X47" s="11"/>
      <c r="Y47" s="11"/>
      <c r="Z47" s="11"/>
    </row>
    <row r="48">
      <c r="A48" s="8">
        <v>44221.92375</v>
      </c>
      <c r="B48" s="9" t="str">
        <f>HYPERLINK("https://twitter.com/_Keninixsiempre","@_Keninixsiempre")</f>
        <v>@_Keninixsiempre</v>
      </c>
      <c r="C48" s="10" t="s">
        <v>587</v>
      </c>
      <c r="D48" s="10" t="s">
        <v>588</v>
      </c>
      <c r="E48" s="9" t="str">
        <f>HYPERLINK("https://twitter.com/_Keninixsiempre/status/1353948334596231173","1353948334596231173")</f>
        <v>1353948334596231173</v>
      </c>
      <c r="F48" s="12" t="s">
        <v>589</v>
      </c>
      <c r="G48" s="11"/>
      <c r="H48" s="11"/>
      <c r="I48" s="13">
        <v>1.0</v>
      </c>
      <c r="J48" s="13">
        <v>6.0</v>
      </c>
      <c r="K48" s="9" t="str">
        <f t="shared" si="11"/>
        <v>Twitter for Android</v>
      </c>
      <c r="L48" s="14">
        <v>2468.0</v>
      </c>
      <c r="M48" s="14">
        <v>2393.0</v>
      </c>
      <c r="N48" s="14">
        <v>0.0</v>
      </c>
      <c r="O48" s="15"/>
      <c r="P48" s="16">
        <v>44013.581041666665</v>
      </c>
      <c r="Q48" s="11"/>
      <c r="R48" s="11"/>
      <c r="S48" s="11"/>
      <c r="T48" s="11"/>
      <c r="U48" s="17" t="str">
        <f>HYPERLINK("https://pbs.twimg.com/profile_images/1353777299288707073/VwNp59FE.jpg","View")</f>
        <v>View</v>
      </c>
      <c r="V48" s="11"/>
      <c r="W48" s="11"/>
      <c r="X48" s="11"/>
      <c r="Y48" s="11"/>
      <c r="Z48" s="11"/>
    </row>
    <row r="49">
      <c r="A49" s="8">
        <v>44221.900972222225</v>
      </c>
      <c r="B49" s="9" t="str">
        <f>HYPERLINK("https://twitter.com/MariusGuitar","@MariusGuitar")</f>
        <v>@MariusGuitar</v>
      </c>
      <c r="C49" s="10" t="s">
        <v>590</v>
      </c>
      <c r="D49" s="10" t="s">
        <v>591</v>
      </c>
      <c r="E49" s="9" t="str">
        <f>HYPERLINK("https://twitter.com/MariusGuitar/status/1353940077194465280","1353940077194465280")</f>
        <v>1353940077194465280</v>
      </c>
      <c r="F49" s="11"/>
      <c r="G49" s="11"/>
      <c r="H49" s="11"/>
      <c r="I49" s="13">
        <v>0.0</v>
      </c>
      <c r="J49" s="13">
        <v>0.0</v>
      </c>
      <c r="K49" s="9" t="str">
        <f t="shared" ref="K49:K50" si="12">HYPERLINK("https://mobile.twitter.com","Twitter Web App")</f>
        <v>Twitter Web App</v>
      </c>
      <c r="L49" s="14">
        <v>141.0</v>
      </c>
      <c r="M49" s="14">
        <v>132.0</v>
      </c>
      <c r="N49" s="14">
        <v>1.0</v>
      </c>
      <c r="O49" s="15"/>
      <c r="P49" s="16">
        <v>42661.50775462963</v>
      </c>
      <c r="Q49" s="10" t="s">
        <v>592</v>
      </c>
      <c r="R49" s="10" t="s">
        <v>593</v>
      </c>
      <c r="S49" s="11"/>
      <c r="T49" s="11"/>
      <c r="U49" s="17" t="str">
        <f>HYPERLINK("https://pbs.twimg.com/profile_images/1283855099060727809/T3fC0qU5.jpg","View")</f>
        <v>View</v>
      </c>
      <c r="V49" s="11"/>
      <c r="W49" s="11"/>
      <c r="X49" s="11"/>
      <c r="Y49" s="11"/>
      <c r="Z49" s="11"/>
    </row>
    <row r="50">
      <c r="A50" s="8">
        <v>44221.87832175926</v>
      </c>
      <c r="B50" s="9" t="str">
        <f>HYPERLINK("https://twitter.com/RyzeLoveWolfiXy","@RyzeLoveWolfiXy")</f>
        <v>@RyzeLoveWolfiXy</v>
      </c>
      <c r="C50" s="10" t="s">
        <v>594</v>
      </c>
      <c r="D50" s="10" t="s">
        <v>595</v>
      </c>
      <c r="E50" s="9" t="str">
        <f>HYPERLINK("https://twitter.com/RyzeLoveWolfiXy/status/1353931868845056000","1353931868845056000")</f>
        <v>1353931868845056000</v>
      </c>
      <c r="F50" s="12" t="s">
        <v>596</v>
      </c>
      <c r="G50" s="12" t="s">
        <v>597</v>
      </c>
      <c r="H50" s="11"/>
      <c r="I50" s="13">
        <v>0.0</v>
      </c>
      <c r="J50" s="13">
        <v>1.0</v>
      </c>
      <c r="K50" s="9" t="str">
        <f t="shared" si="12"/>
        <v>Twitter Web App</v>
      </c>
      <c r="L50" s="14">
        <v>165.0</v>
      </c>
      <c r="M50" s="14">
        <v>665.0</v>
      </c>
      <c r="N50" s="14">
        <v>0.0</v>
      </c>
      <c r="O50" s="15"/>
      <c r="P50" s="16">
        <v>43928.64326388889</v>
      </c>
      <c r="Q50" s="11"/>
      <c r="R50" s="10" t="s">
        <v>598</v>
      </c>
      <c r="S50" s="12" t="s">
        <v>599</v>
      </c>
      <c r="T50" s="11"/>
      <c r="U50" s="17" t="str">
        <f>HYPERLINK("https://pbs.twimg.com/profile_images/1354068120072314882/US5B8uab.jpg","View")</f>
        <v>View</v>
      </c>
      <c r="V50" s="11"/>
      <c r="W50" s="11"/>
      <c r="X50" s="11"/>
      <c r="Y50" s="11"/>
      <c r="Z50" s="11"/>
    </row>
    <row r="51">
      <c r="A51" s="8">
        <v>44221.866261574076</v>
      </c>
      <c r="B51" s="9" t="str">
        <f>HYPERLINK("https://twitter.com/morriswood_sp","@morriswood_sp")</f>
        <v>@morriswood_sp</v>
      </c>
      <c r="C51" s="10" t="s">
        <v>600</v>
      </c>
      <c r="D51" s="10" t="s">
        <v>601</v>
      </c>
      <c r="E51" s="9" t="str">
        <f>HYPERLINK("https://twitter.com/morriswood_sp/status/1353927498501939200","1353927498501939200")</f>
        <v>1353927498501939200</v>
      </c>
      <c r="F51" s="12" t="s">
        <v>569</v>
      </c>
      <c r="G51" s="12" t="s">
        <v>570</v>
      </c>
      <c r="H51" s="11"/>
      <c r="I51" s="13">
        <v>0.0</v>
      </c>
      <c r="J51" s="13">
        <v>0.0</v>
      </c>
      <c r="K51" s="9" t="str">
        <f>HYPERLINK("http://twitter.com/download/android","Twitter for Android")</f>
        <v>Twitter for Android</v>
      </c>
      <c r="L51" s="14">
        <v>3074.0</v>
      </c>
      <c r="M51" s="14">
        <v>1155.0</v>
      </c>
      <c r="N51" s="14">
        <v>60.0</v>
      </c>
      <c r="O51" s="15"/>
      <c r="P51" s="16">
        <v>40609.48064814815</v>
      </c>
      <c r="Q51" s="10" t="s">
        <v>602</v>
      </c>
      <c r="R51" s="10" t="s">
        <v>603</v>
      </c>
      <c r="S51" s="11"/>
      <c r="T51" s="11"/>
      <c r="U51" s="17" t="str">
        <f>HYPERLINK("https://pbs.twimg.com/profile_images/1278092936299925505/dIydTXb1.jpg","View")</f>
        <v>View</v>
      </c>
      <c r="V51" s="11"/>
      <c r="W51" s="11"/>
      <c r="X51" s="11"/>
      <c r="Y51" s="11"/>
      <c r="Z51" s="11"/>
    </row>
    <row r="52">
      <c r="A52" s="8">
        <v>44221.86334490741</v>
      </c>
      <c r="B52" s="9" t="str">
        <f>HYPERLINK("https://twitter.com/angelinslva","@angelinslva")</f>
        <v>@angelinslva</v>
      </c>
      <c r="C52" s="10" t="s">
        <v>604</v>
      </c>
      <c r="D52" s="10" t="s">
        <v>605</v>
      </c>
      <c r="E52" s="9" t="str">
        <f>HYPERLINK("https://twitter.com/angelinslva/status/1353926444402044929","1353926444402044929")</f>
        <v>1353926444402044929</v>
      </c>
      <c r="F52" s="11"/>
      <c r="G52" s="12" t="s">
        <v>606</v>
      </c>
      <c r="H52" s="11"/>
      <c r="I52" s="13">
        <v>0.0</v>
      </c>
      <c r="J52" s="13">
        <v>0.0</v>
      </c>
      <c r="K52" s="9" t="str">
        <f>HYPERLINK("http://twitter.com/download/iphone","Twitter for iPhone")</f>
        <v>Twitter for iPhone</v>
      </c>
      <c r="L52" s="14">
        <v>2899.0</v>
      </c>
      <c r="M52" s="14">
        <v>3694.0</v>
      </c>
      <c r="N52" s="14">
        <v>0.0</v>
      </c>
      <c r="O52" s="15"/>
      <c r="P52" s="16">
        <v>44018.71932870371</v>
      </c>
      <c r="Q52" s="10" t="s">
        <v>607</v>
      </c>
      <c r="R52" s="10" t="s">
        <v>608</v>
      </c>
      <c r="S52" s="11"/>
      <c r="T52" s="11"/>
      <c r="U52" s="17" t="str">
        <f>HYPERLINK("https://pbs.twimg.com/profile_images/1351257857069637633/e4IlwrU8.jpg","View")</f>
        <v>View</v>
      </c>
      <c r="V52" s="11"/>
      <c r="W52" s="11"/>
      <c r="X52" s="11"/>
      <c r="Y52" s="11"/>
      <c r="Z52" s="11"/>
    </row>
    <row r="53">
      <c r="A53" s="8">
        <v>44221.84349537037</v>
      </c>
      <c r="B53" s="9" t="str">
        <f>HYPERLINK("https://twitter.com/BRAVAJLOX","@BRAVAJLOX")</f>
        <v>@BRAVAJLOX</v>
      </c>
      <c r="C53" s="10" t="s">
        <v>609</v>
      </c>
      <c r="D53" s="10" t="s">
        <v>610</v>
      </c>
      <c r="E53" s="9" t="str">
        <f>HYPERLINK("https://twitter.com/BRAVAJLOX/status/1353919250394656768","1353919250394656768")</f>
        <v>1353919250394656768</v>
      </c>
      <c r="F53" s="12" t="s">
        <v>611</v>
      </c>
      <c r="G53" s="12" t="s">
        <v>612</v>
      </c>
      <c r="H53" s="11"/>
      <c r="I53" s="13">
        <v>0.0</v>
      </c>
      <c r="J53" s="13">
        <v>0.0</v>
      </c>
      <c r="K53" s="9" t="str">
        <f>HYPERLINK("http://twitter.com/download/android","Twitter for Android")</f>
        <v>Twitter for Android</v>
      </c>
      <c r="L53" s="14">
        <v>551.0</v>
      </c>
      <c r="M53" s="14">
        <v>389.0</v>
      </c>
      <c r="N53" s="14">
        <v>11.0</v>
      </c>
      <c r="O53" s="15"/>
      <c r="P53" s="16">
        <v>44132.36984953703</v>
      </c>
      <c r="Q53" s="11"/>
      <c r="R53" s="10" t="s">
        <v>613</v>
      </c>
      <c r="S53" s="11"/>
      <c r="T53" s="11"/>
      <c r="U53" s="17" t="str">
        <f>HYPERLINK("https://pbs.twimg.com/profile_images/1354101646003941376/I06ye00c.jpg","View")</f>
        <v>View</v>
      </c>
      <c r="V53" s="11"/>
      <c r="W53" s="11"/>
      <c r="X53" s="11"/>
      <c r="Y53" s="11"/>
      <c r="Z53" s="11"/>
    </row>
    <row r="54">
      <c r="A54" s="8">
        <v>44221.82972222222</v>
      </c>
      <c r="B54" s="9" t="str">
        <f>HYPERLINK("https://twitter.com/ohnojuanpa","@ohnojuanpa")</f>
        <v>@ohnojuanpa</v>
      </c>
      <c r="C54" s="10" t="s">
        <v>614</v>
      </c>
      <c r="D54" s="10" t="s">
        <v>615</v>
      </c>
      <c r="E54" s="9" t="str">
        <f>HYPERLINK("https://twitter.com/ohnojuanpa/status/1353914257411166208","1353914257411166208")</f>
        <v>1353914257411166208</v>
      </c>
      <c r="F54" s="12" t="s">
        <v>616</v>
      </c>
      <c r="G54" s="11"/>
      <c r="H54" s="11"/>
      <c r="I54" s="13">
        <v>0.0</v>
      </c>
      <c r="J54" s="13">
        <v>0.0</v>
      </c>
      <c r="K54" s="9" t="str">
        <f>HYPERLINK("http://twitter.com/download/iphone","Twitter for iPhone")</f>
        <v>Twitter for iPhone</v>
      </c>
      <c r="L54" s="14">
        <v>4653.0</v>
      </c>
      <c r="M54" s="14">
        <v>283.0</v>
      </c>
      <c r="N54" s="14">
        <v>57.0</v>
      </c>
      <c r="O54" s="15"/>
      <c r="P54" s="16">
        <v>41908.69689814815</v>
      </c>
      <c r="Q54" s="10" t="s">
        <v>617</v>
      </c>
      <c r="R54" s="10" t="s">
        <v>618</v>
      </c>
      <c r="S54" s="11"/>
      <c r="T54" s="11"/>
      <c r="U54" s="17" t="str">
        <f>HYPERLINK("https://pbs.twimg.com/profile_images/1353825015234322432/l7f-9wCJ.jpg","View")</f>
        <v>View</v>
      </c>
      <c r="V54" s="11"/>
      <c r="W54" s="11"/>
      <c r="X54" s="11"/>
      <c r="Y54" s="11"/>
      <c r="Z54" s="11"/>
    </row>
    <row r="55">
      <c r="A55" s="8">
        <v>44221.816030092596</v>
      </c>
      <c r="B55" s="9" t="str">
        <f>HYPERLINK("https://twitter.com/Yoonmimi2309","@Yoonmimi2309")</f>
        <v>@Yoonmimi2309</v>
      </c>
      <c r="C55" s="10" t="s">
        <v>619</v>
      </c>
      <c r="D55" s="10" t="s">
        <v>620</v>
      </c>
      <c r="E55" s="9" t="str">
        <f>HYPERLINK("https://twitter.com/Yoonmimi2309/status/1353909298208919552","1353909298208919552")</f>
        <v>1353909298208919552</v>
      </c>
      <c r="F55" s="11"/>
      <c r="G55" s="11"/>
      <c r="H55" s="11"/>
      <c r="I55" s="13">
        <v>0.0</v>
      </c>
      <c r="J55" s="13">
        <v>0.0</v>
      </c>
      <c r="K55" s="9" t="str">
        <f t="shared" ref="K55:K57" si="13">HYPERLINK("http://twitter.com/download/android","Twitter for Android")</f>
        <v>Twitter for Android</v>
      </c>
      <c r="L55" s="14">
        <v>402.0</v>
      </c>
      <c r="M55" s="14">
        <v>868.0</v>
      </c>
      <c r="N55" s="14">
        <v>1.0</v>
      </c>
      <c r="O55" s="15"/>
      <c r="P55" s="16">
        <v>43376.611446759256</v>
      </c>
      <c r="Q55" s="10" t="s">
        <v>621</v>
      </c>
      <c r="R55" s="10" t="s">
        <v>622</v>
      </c>
      <c r="S55" s="12" t="s">
        <v>623</v>
      </c>
      <c r="T55" s="11"/>
      <c r="U55" s="17" t="str">
        <f>HYPERLINK("https://pbs.twimg.com/profile_images/1344668792094400513/g8CPXNv_.jpg","View")</f>
        <v>View</v>
      </c>
      <c r="V55" s="11"/>
      <c r="W55" s="11"/>
      <c r="X55" s="11"/>
      <c r="Y55" s="11"/>
      <c r="Z55" s="11"/>
    </row>
    <row r="56">
      <c r="A56" s="8">
        <v>44221.80863425926</v>
      </c>
      <c r="B56" s="9" t="str">
        <f>HYPERLINK("https://twitter.com/EsposxBanks97s","@EsposxBanks97s")</f>
        <v>@EsposxBanks97s</v>
      </c>
      <c r="C56" s="10" t="s">
        <v>624</v>
      </c>
      <c r="D56" s="10" t="s">
        <v>625</v>
      </c>
      <c r="E56" s="9" t="str">
        <f>HYPERLINK("https://twitter.com/EsposxBanks97s/status/1353906614848385028","1353906614848385028")</f>
        <v>1353906614848385028</v>
      </c>
      <c r="F56" s="11"/>
      <c r="G56" s="12" t="s">
        <v>626</v>
      </c>
      <c r="H56" s="11"/>
      <c r="I56" s="13">
        <v>0.0</v>
      </c>
      <c r="J56" s="13">
        <v>0.0</v>
      </c>
      <c r="K56" s="9" t="str">
        <f t="shared" si="13"/>
        <v>Twitter for Android</v>
      </c>
      <c r="L56" s="14">
        <v>1940.0</v>
      </c>
      <c r="M56" s="14">
        <v>1048.0</v>
      </c>
      <c r="N56" s="14">
        <v>8.0</v>
      </c>
      <c r="O56" s="15"/>
      <c r="P56" s="16">
        <v>43278.76866898148</v>
      </c>
      <c r="Q56" s="10" t="s">
        <v>627</v>
      </c>
      <c r="R56" s="10" t="s">
        <v>628</v>
      </c>
      <c r="S56" s="11"/>
      <c r="T56" s="11"/>
      <c r="U56" s="17" t="str">
        <f>HYPERLINK("https://pbs.twimg.com/profile_images/1354178246997368838/9IpLH3T2.jpg","View")</f>
        <v>View</v>
      </c>
      <c r="V56" s="11"/>
      <c r="W56" s="11"/>
      <c r="X56" s="11"/>
      <c r="Y56" s="11"/>
      <c r="Z56" s="11"/>
    </row>
    <row r="57">
      <c r="A57" s="8">
        <v>44221.796076388884</v>
      </c>
      <c r="B57" s="9" t="str">
        <f>HYPERLINK("https://twitter.com/CamixxLisa","@CamixxLisa")</f>
        <v>@CamixxLisa</v>
      </c>
      <c r="C57" s="10" t="s">
        <v>629</v>
      </c>
      <c r="D57" s="10" t="s">
        <v>630</v>
      </c>
      <c r="E57" s="9" t="str">
        <f>HYPERLINK("https://twitter.com/CamixxLisa/status/1353902066620633088","1353902066620633088")</f>
        <v>1353902066620633088</v>
      </c>
      <c r="F57" s="10" t="s">
        <v>631</v>
      </c>
      <c r="G57" s="11"/>
      <c r="H57" s="11"/>
      <c r="I57" s="13">
        <v>0.0</v>
      </c>
      <c r="J57" s="13">
        <v>2.0</v>
      </c>
      <c r="K57" s="9" t="str">
        <f t="shared" si="13"/>
        <v>Twitter for Android</v>
      </c>
      <c r="L57" s="14">
        <v>5344.0</v>
      </c>
      <c r="M57" s="14">
        <v>5254.0</v>
      </c>
      <c r="N57" s="14">
        <v>37.0</v>
      </c>
      <c r="O57" s="15"/>
      <c r="P57" s="16">
        <v>43405.58384259259</v>
      </c>
      <c r="Q57" s="10" t="s">
        <v>632</v>
      </c>
      <c r="R57" s="10" t="s">
        <v>633</v>
      </c>
      <c r="S57" s="11"/>
      <c r="T57" s="11"/>
      <c r="U57" s="17" t="str">
        <f>HYPERLINK("https://pbs.twimg.com/profile_images/1353720763656904707/ROPonQGf.jpg","View")</f>
        <v>View</v>
      </c>
      <c r="V57" s="11"/>
      <c r="W57" s="11"/>
      <c r="X57" s="11"/>
      <c r="Y57" s="11"/>
      <c r="Z57" s="11"/>
    </row>
    <row r="58">
      <c r="A58" s="8">
        <v>44221.79040509259</v>
      </c>
      <c r="B58" s="9" t="str">
        <f>HYPERLINK("https://twitter.com/soyeddgars","@soyeddgars")</f>
        <v>@soyeddgars</v>
      </c>
      <c r="C58" s="10" t="s">
        <v>634</v>
      </c>
      <c r="D58" s="10" t="s">
        <v>635</v>
      </c>
      <c r="E58" s="9" t="str">
        <f>HYPERLINK("https://twitter.com/soyeddgars/status/1353900012556570625","1353900012556570625")</f>
        <v>1353900012556570625</v>
      </c>
      <c r="F58" s="11"/>
      <c r="G58" s="11"/>
      <c r="H58" s="11"/>
      <c r="I58" s="13">
        <v>0.0</v>
      </c>
      <c r="J58" s="13">
        <v>0.0</v>
      </c>
      <c r="K58" s="9" t="str">
        <f>HYPERLINK("http://twitter.com/download/iphone","Twitter for iPhone")</f>
        <v>Twitter for iPhone</v>
      </c>
      <c r="L58" s="14">
        <v>31.0</v>
      </c>
      <c r="M58" s="14">
        <v>78.0</v>
      </c>
      <c r="N58" s="14">
        <v>0.0</v>
      </c>
      <c r="O58" s="15"/>
      <c r="P58" s="16">
        <v>44043.45649305556</v>
      </c>
      <c r="Q58" s="10" t="s">
        <v>327</v>
      </c>
      <c r="R58" s="10" t="s">
        <v>636</v>
      </c>
      <c r="S58" s="12" t="s">
        <v>637</v>
      </c>
      <c r="T58" s="11"/>
      <c r="U58" s="17" t="str">
        <f>HYPERLINK("https://pbs.twimg.com/profile_images/1289259042167283714/m71INvEQ.jpg","View")</f>
        <v>View</v>
      </c>
      <c r="V58" s="11"/>
      <c r="W58" s="11"/>
      <c r="X58" s="11"/>
      <c r="Y58" s="11"/>
      <c r="Z58" s="11"/>
    </row>
    <row r="59">
      <c r="A59" s="8">
        <v>44221.7808912037</v>
      </c>
      <c r="B59" s="9" t="str">
        <f>HYPERLINK("https://twitter.com/Mcflayer80","@Mcflayer80")</f>
        <v>@Mcflayer80</v>
      </c>
      <c r="C59" s="10" t="s">
        <v>638</v>
      </c>
      <c r="D59" s="10" t="s">
        <v>639</v>
      </c>
      <c r="E59" s="9" t="str">
        <f>HYPERLINK("https://twitter.com/Mcflayer80/status/1353896564054487040","1353896564054487040")</f>
        <v>1353896564054487040</v>
      </c>
      <c r="F59" s="11"/>
      <c r="G59" s="11"/>
      <c r="H59" s="11"/>
      <c r="I59" s="13">
        <v>1.0</v>
      </c>
      <c r="J59" s="13">
        <v>3.0</v>
      </c>
      <c r="K59" s="9" t="str">
        <f>HYPERLINK("https://mobile.twitter.com","Twitter Web App")</f>
        <v>Twitter Web App</v>
      </c>
      <c r="L59" s="14">
        <v>900.0</v>
      </c>
      <c r="M59" s="14">
        <v>1283.0</v>
      </c>
      <c r="N59" s="14">
        <v>0.0</v>
      </c>
      <c r="O59" s="15"/>
      <c r="P59" s="16">
        <v>42436.25708333333</v>
      </c>
      <c r="Q59" s="11"/>
      <c r="R59" s="10" t="s">
        <v>640</v>
      </c>
      <c r="S59" s="11"/>
      <c r="T59" s="11"/>
      <c r="U59" s="17" t="str">
        <f>HYPERLINK("https://pbs.twimg.com/profile_images/1353885416290721795/UGUsgOF9.jpg","View")</f>
        <v>View</v>
      </c>
      <c r="V59" s="11"/>
      <c r="W59" s="11"/>
      <c r="X59" s="11"/>
      <c r="Y59" s="11"/>
      <c r="Z59" s="11"/>
    </row>
    <row r="60">
      <c r="A60" s="8">
        <v>44221.771643518514</v>
      </c>
      <c r="B60" s="9" t="str">
        <f>HYPERLINK("https://twitter.com/ArkaKnigth","@ArkaKnigth")</f>
        <v>@ArkaKnigth</v>
      </c>
      <c r="C60" s="10" t="s">
        <v>641</v>
      </c>
      <c r="D60" s="10" t="s">
        <v>642</v>
      </c>
      <c r="E60" s="9" t="str">
        <f>HYPERLINK("https://twitter.com/ArkaKnigth/status/1353893213363449879","1353893213363449879")</f>
        <v>1353893213363449879</v>
      </c>
      <c r="F60" s="11"/>
      <c r="G60" s="12" t="s">
        <v>643</v>
      </c>
      <c r="H60" s="11"/>
      <c r="I60" s="13">
        <v>0.0</v>
      </c>
      <c r="J60" s="13">
        <v>0.0</v>
      </c>
      <c r="K60" s="9" t="str">
        <f t="shared" ref="K60:K62" si="14">HYPERLINK("http://twitter.com/download/android","Twitter for Android")</f>
        <v>Twitter for Android</v>
      </c>
      <c r="L60" s="14">
        <v>77.0</v>
      </c>
      <c r="M60" s="14">
        <v>433.0</v>
      </c>
      <c r="N60" s="14">
        <v>1.0</v>
      </c>
      <c r="O60" s="15"/>
      <c r="P60" s="16">
        <v>43288.282442129625</v>
      </c>
      <c r="Q60" s="10" t="s">
        <v>644</v>
      </c>
      <c r="R60" s="10" t="s">
        <v>645</v>
      </c>
      <c r="S60" s="11"/>
      <c r="T60" s="11"/>
      <c r="U60" s="17" t="str">
        <f>HYPERLINK("https://pbs.twimg.com/profile_images/1345937590659276800/NiCMZ2Wo.jpg","View")</f>
        <v>View</v>
      </c>
      <c r="V60" s="11"/>
      <c r="W60" s="11"/>
      <c r="X60" s="11"/>
      <c r="Y60" s="11"/>
      <c r="Z60" s="11"/>
    </row>
    <row r="61">
      <c r="A61" s="8">
        <v>44221.742847222224</v>
      </c>
      <c r="B61" s="9" t="str">
        <f>HYPERLINK("https://twitter.com/Lizney28664397","@Lizney28664397")</f>
        <v>@Lizney28664397</v>
      </c>
      <c r="C61" s="10" t="s">
        <v>646</v>
      </c>
      <c r="D61" s="10" t="s">
        <v>647</v>
      </c>
      <c r="E61" s="9" t="str">
        <f>HYPERLINK("https://twitter.com/Lizney28664397/status/1353882778077691905","1353882778077691905")</f>
        <v>1353882778077691905</v>
      </c>
      <c r="F61" s="11"/>
      <c r="G61" s="11"/>
      <c r="H61" s="11"/>
      <c r="I61" s="13">
        <v>0.0</v>
      </c>
      <c r="J61" s="13">
        <v>3.0</v>
      </c>
      <c r="K61" s="9" t="str">
        <f t="shared" si="14"/>
        <v>Twitter for Android</v>
      </c>
      <c r="L61" s="14">
        <v>311.0</v>
      </c>
      <c r="M61" s="14">
        <v>494.0</v>
      </c>
      <c r="N61" s="14">
        <v>0.0</v>
      </c>
      <c r="O61" s="15"/>
      <c r="P61" s="16">
        <v>44122.18555555555</v>
      </c>
      <c r="Q61" s="10" t="s">
        <v>648</v>
      </c>
      <c r="R61" s="10" t="s">
        <v>649</v>
      </c>
      <c r="S61" s="11"/>
      <c r="T61" s="11"/>
      <c r="U61" s="17" t="str">
        <f>HYPERLINK("https://pbs.twimg.com/profile_images/1353104919369289729/Mpmrni8t.jpg","View")</f>
        <v>View</v>
      </c>
      <c r="V61" s="11"/>
      <c r="W61" s="11"/>
      <c r="X61" s="11"/>
      <c r="Y61" s="11"/>
      <c r="Z61" s="11"/>
    </row>
    <row r="62">
      <c r="A62" s="8">
        <v>44221.734548611115</v>
      </c>
      <c r="B62" s="9" t="str">
        <f>HYPERLINK("https://twitter.com/Guaglis02","@Guaglis02")</f>
        <v>@Guaglis02</v>
      </c>
      <c r="C62" s="10" t="s">
        <v>650</v>
      </c>
      <c r="D62" s="10" t="s">
        <v>651</v>
      </c>
      <c r="E62" s="9" t="str">
        <f>HYPERLINK("https://twitter.com/Guaglis02/status/1353879768350027776","1353879768350027776")</f>
        <v>1353879768350027776</v>
      </c>
      <c r="F62" s="11"/>
      <c r="G62" s="11"/>
      <c r="H62" s="11"/>
      <c r="I62" s="13">
        <v>0.0</v>
      </c>
      <c r="J62" s="13">
        <v>3.0</v>
      </c>
      <c r="K62" s="9" t="str">
        <f t="shared" si="14"/>
        <v>Twitter for Android</v>
      </c>
      <c r="L62" s="14">
        <v>49.0</v>
      </c>
      <c r="M62" s="14">
        <v>154.0</v>
      </c>
      <c r="N62" s="14">
        <v>0.0</v>
      </c>
      <c r="O62" s="15"/>
      <c r="P62" s="16">
        <v>42784.944490740745</v>
      </c>
      <c r="Q62" s="11"/>
      <c r="R62" s="10" t="s">
        <v>652</v>
      </c>
      <c r="S62" s="11"/>
      <c r="T62" s="11"/>
      <c r="U62" s="17" t="str">
        <f>HYPERLINK("https://pbs.twimg.com/profile_images/1317919662466879493/VEHjQYVB.jpg","View")</f>
        <v>View</v>
      </c>
      <c r="V62" s="11"/>
      <c r="W62" s="11"/>
      <c r="X62" s="11"/>
      <c r="Y62" s="11"/>
      <c r="Z62" s="11"/>
    </row>
    <row r="63">
      <c r="A63" s="8">
        <v>44221.71936342593</v>
      </c>
      <c r="B63" s="9" t="str">
        <f>HYPERLINK("https://twitter.com/trianahinojosa","@trianahinojosa")</f>
        <v>@trianahinojosa</v>
      </c>
      <c r="C63" s="10" t="s">
        <v>653</v>
      </c>
      <c r="D63" s="10" t="s">
        <v>654</v>
      </c>
      <c r="E63" s="9" t="str">
        <f>HYPERLINK("https://twitter.com/trianahinojosa/status/1353874267532914690","1353874267532914690")</f>
        <v>1353874267532914690</v>
      </c>
      <c r="F63" s="11"/>
      <c r="G63" s="11"/>
      <c r="H63" s="11"/>
      <c r="I63" s="13">
        <v>0.0</v>
      </c>
      <c r="J63" s="13">
        <v>0.0</v>
      </c>
      <c r="K63" s="9" t="str">
        <f t="shared" ref="K63:K64" si="15">HYPERLINK("http://twitter.com/download/iphone","Twitter for iPhone")</f>
        <v>Twitter for iPhone</v>
      </c>
      <c r="L63" s="14">
        <v>567.0</v>
      </c>
      <c r="M63" s="14">
        <v>521.0</v>
      </c>
      <c r="N63" s="14">
        <v>3.0</v>
      </c>
      <c r="O63" s="15"/>
      <c r="P63" s="16">
        <v>41148.81525462963</v>
      </c>
      <c r="Q63" s="10" t="s">
        <v>655</v>
      </c>
      <c r="R63" s="10" t="s">
        <v>656</v>
      </c>
      <c r="S63" s="11"/>
      <c r="T63" s="11"/>
      <c r="U63" s="17" t="str">
        <f>HYPERLINK("https://pbs.twimg.com/profile_images/1350312932232613888/eLz0Qd-R.jpg","View")</f>
        <v>View</v>
      </c>
      <c r="V63" s="11"/>
      <c r="W63" s="11"/>
      <c r="X63" s="11"/>
      <c r="Y63" s="11"/>
      <c r="Z63" s="11"/>
    </row>
    <row r="64">
      <c r="A64" s="8">
        <v>44221.70337962963</v>
      </c>
      <c r="B64" s="9" t="str">
        <f>HYPERLINK("https://twitter.com/wthtsoul","@wthtsoul")</f>
        <v>@wthtsoul</v>
      </c>
      <c r="C64" s="10" t="s">
        <v>657</v>
      </c>
      <c r="D64" s="10" t="s">
        <v>658</v>
      </c>
      <c r="E64" s="9" t="str">
        <f>HYPERLINK("https://twitter.com/wthtsoul/status/1353868473047216128","1353868473047216128")</f>
        <v>1353868473047216128</v>
      </c>
      <c r="F64" s="11"/>
      <c r="G64" s="11"/>
      <c r="H64" s="11"/>
      <c r="I64" s="13">
        <v>0.0</v>
      </c>
      <c r="J64" s="13">
        <v>0.0</v>
      </c>
      <c r="K64" s="9" t="str">
        <f t="shared" si="15"/>
        <v>Twitter for iPhone</v>
      </c>
      <c r="L64" s="14">
        <v>187.0</v>
      </c>
      <c r="M64" s="14">
        <v>251.0</v>
      </c>
      <c r="N64" s="14">
        <v>1.0</v>
      </c>
      <c r="O64" s="15"/>
      <c r="P64" s="16">
        <v>42304.316296296296</v>
      </c>
      <c r="Q64" s="11"/>
      <c r="R64" s="10" t="s">
        <v>659</v>
      </c>
      <c r="S64" s="11"/>
      <c r="T64" s="11"/>
      <c r="U64" s="17" t="str">
        <f>HYPERLINK("https://pbs.twimg.com/profile_images/1314081136948150273/x_gBeUKt.jpg","View")</f>
        <v>View</v>
      </c>
      <c r="V64" s="11"/>
      <c r="W64" s="11"/>
      <c r="X64" s="11"/>
      <c r="Y64" s="11"/>
      <c r="Z64" s="11"/>
    </row>
    <row r="65">
      <c r="A65" s="8">
        <v>44221.70315972222</v>
      </c>
      <c r="B65" s="9" t="str">
        <f>HYPERLINK("https://twitter.com/papibran85","@papibran85")</f>
        <v>@papibran85</v>
      </c>
      <c r="C65" s="10" t="s">
        <v>660</v>
      </c>
      <c r="D65" s="10" t="s">
        <v>661</v>
      </c>
      <c r="E65" s="9" t="str">
        <f>HYPERLINK("https://twitter.com/papibran85/status/1353868395893157888","1353868395893157888")</f>
        <v>1353868395893157888</v>
      </c>
      <c r="F65" s="12" t="s">
        <v>662</v>
      </c>
      <c r="G65" s="12" t="s">
        <v>663</v>
      </c>
      <c r="H65" s="11"/>
      <c r="I65" s="13">
        <v>0.0</v>
      </c>
      <c r="J65" s="13">
        <v>4.0</v>
      </c>
      <c r="K65" s="9" t="str">
        <f>HYPERLINK("http://twitter.com/download/android","Twitter for Android")</f>
        <v>Twitter for Android</v>
      </c>
      <c r="L65" s="14">
        <v>50.0</v>
      </c>
      <c r="M65" s="14">
        <v>66.0</v>
      </c>
      <c r="N65" s="14">
        <v>0.0</v>
      </c>
      <c r="O65" s="15"/>
      <c r="P65" s="16">
        <v>44136.69173611111</v>
      </c>
      <c r="Q65" s="11"/>
      <c r="R65" s="10" t="s">
        <v>664</v>
      </c>
      <c r="S65" s="11"/>
      <c r="T65" s="11"/>
      <c r="U65" s="17" t="str">
        <f>HYPERLINK("https://pbs.twimg.com/profile_images/1349820804339359744/TSznAiBE.png","View")</f>
        <v>View</v>
      </c>
      <c r="V65" s="11"/>
      <c r="W65" s="11"/>
      <c r="X65" s="11"/>
      <c r="Y65" s="11"/>
      <c r="Z65" s="11"/>
    </row>
    <row r="66">
      <c r="A66" s="8">
        <v>44221.702199074076</v>
      </c>
      <c r="B66" s="9" t="str">
        <f>HYPERLINK("https://twitter.com/Daniel_11Andres","@Daniel_11Andres")</f>
        <v>@Daniel_11Andres</v>
      </c>
      <c r="C66" s="10" t="s">
        <v>665</v>
      </c>
      <c r="D66" s="10" t="s">
        <v>666</v>
      </c>
      <c r="E66" s="9" t="str">
        <f>HYPERLINK("https://twitter.com/Daniel_11Andres/status/1353868044293070856","1353868044293070856")</f>
        <v>1353868044293070856</v>
      </c>
      <c r="F66" s="11"/>
      <c r="G66" s="11"/>
      <c r="H66" s="11"/>
      <c r="I66" s="13">
        <v>0.0</v>
      </c>
      <c r="J66" s="13">
        <v>1.0</v>
      </c>
      <c r="K66" s="9" t="str">
        <f t="shared" ref="K66:K67" si="16">HYPERLINK("http://twitter.com/download/iphone","Twitter for iPhone")</f>
        <v>Twitter for iPhone</v>
      </c>
      <c r="L66" s="14">
        <v>445.0</v>
      </c>
      <c r="M66" s="14">
        <v>314.0</v>
      </c>
      <c r="N66" s="14">
        <v>0.0</v>
      </c>
      <c r="O66" s="15"/>
      <c r="P66" s="16">
        <v>43690.69887731482</v>
      </c>
      <c r="Q66" s="11"/>
      <c r="R66" s="10" t="s">
        <v>667</v>
      </c>
      <c r="S66" s="12" t="s">
        <v>668</v>
      </c>
      <c r="T66" s="11"/>
      <c r="U66" s="17" t="str">
        <f>HYPERLINK("https://pbs.twimg.com/profile_images/1352136394626519050/FIQ4NBKa.jpg","View")</f>
        <v>View</v>
      </c>
      <c r="V66" s="11"/>
      <c r="W66" s="11"/>
      <c r="X66" s="11"/>
      <c r="Y66" s="11"/>
      <c r="Z66" s="11"/>
    </row>
    <row r="67">
      <c r="A67" s="8">
        <v>44221.69758101852</v>
      </c>
      <c r="B67" s="9" t="str">
        <f>HYPERLINK("https://twitter.com/clinthesegood","@clinthesegood")</f>
        <v>@clinthesegood</v>
      </c>
      <c r="C67" s="10" t="s">
        <v>669</v>
      </c>
      <c r="D67" s="10" t="s">
        <v>670</v>
      </c>
      <c r="E67" s="9" t="str">
        <f>HYPERLINK("https://twitter.com/clinthesegood/status/1353866370614775808","1353866370614775808")</f>
        <v>1353866370614775808</v>
      </c>
      <c r="F67" s="11"/>
      <c r="G67" s="12" t="s">
        <v>671</v>
      </c>
      <c r="H67" s="11"/>
      <c r="I67" s="13">
        <v>1.0</v>
      </c>
      <c r="J67" s="13">
        <v>1.0</v>
      </c>
      <c r="K67" s="9" t="str">
        <f t="shared" si="16"/>
        <v>Twitter for iPhone</v>
      </c>
      <c r="L67" s="14">
        <v>807.0</v>
      </c>
      <c r="M67" s="14">
        <v>875.0</v>
      </c>
      <c r="N67" s="14">
        <v>1.0</v>
      </c>
      <c r="O67" s="15"/>
      <c r="P67" s="16">
        <v>43783.672789351855</v>
      </c>
      <c r="Q67" s="10" t="s">
        <v>672</v>
      </c>
      <c r="R67" s="10" t="s">
        <v>673</v>
      </c>
      <c r="S67" s="11"/>
      <c r="T67" s="11"/>
      <c r="U67" s="17" t="str">
        <f>HYPERLINK("https://pbs.twimg.com/profile_images/1352724003346145286/gsDivJXH.jpg","View")</f>
        <v>View</v>
      </c>
      <c r="V67" s="11"/>
      <c r="W67" s="11"/>
      <c r="X67" s="11"/>
      <c r="Y67" s="11"/>
      <c r="Z67" s="11"/>
    </row>
    <row r="68">
      <c r="A68" s="8">
        <v>44221.694560185184</v>
      </c>
      <c r="B68" s="9" t="str">
        <f>HYPERLINK("https://twitter.com/hazza7kon","@hazza7kon")</f>
        <v>@hazza7kon</v>
      </c>
      <c r="C68" s="10" t="s">
        <v>674</v>
      </c>
      <c r="D68" s="10" t="s">
        <v>675</v>
      </c>
      <c r="E68" s="9" t="str">
        <f>HYPERLINK("https://twitter.com/hazza7kon/status/1353865279923748865","1353865279923748865")</f>
        <v>1353865279923748865</v>
      </c>
      <c r="F68" s="12" t="s">
        <v>676</v>
      </c>
      <c r="G68" s="12" t="s">
        <v>677</v>
      </c>
      <c r="H68" s="11"/>
      <c r="I68" s="13">
        <v>0.0</v>
      </c>
      <c r="J68" s="13">
        <v>5.0</v>
      </c>
      <c r="K68" s="9" t="str">
        <f>HYPERLINK("https://mobile.twitter.com","Twitter Web App")</f>
        <v>Twitter Web App</v>
      </c>
      <c r="L68" s="14">
        <v>781.0</v>
      </c>
      <c r="M68" s="14">
        <v>937.0</v>
      </c>
      <c r="N68" s="14">
        <v>12.0</v>
      </c>
      <c r="O68" s="15"/>
      <c r="P68" s="16">
        <v>43784.18797453704</v>
      </c>
      <c r="Q68" s="10" t="s">
        <v>678</v>
      </c>
      <c r="R68" s="10" t="s">
        <v>679</v>
      </c>
      <c r="S68" s="12" t="s">
        <v>680</v>
      </c>
      <c r="T68" s="11"/>
      <c r="U68" s="17" t="str">
        <f>HYPERLINK("https://pbs.twimg.com/profile_images/1346174308301877250/vWrsofWc.jpg","View")</f>
        <v>View</v>
      </c>
      <c r="V68" s="11"/>
      <c r="W68" s="11"/>
      <c r="X68" s="11"/>
      <c r="Y68" s="11"/>
      <c r="Z68" s="11"/>
    </row>
    <row r="69">
      <c r="A69" s="8">
        <v>44221.69071759259</v>
      </c>
      <c r="B69" s="9" t="str">
        <f>HYPERLINK("https://twitter.com/malaudoblxs","@malaudoblxs")</f>
        <v>@malaudoblxs</v>
      </c>
      <c r="C69" s="10" t="s">
        <v>681</v>
      </c>
      <c r="D69" s="10" t="s">
        <v>682</v>
      </c>
      <c r="E69" s="9" t="str">
        <f>HYPERLINK("https://twitter.com/malaudoblxs/status/1353863886995382272","1353863886995382272")</f>
        <v>1353863886995382272</v>
      </c>
      <c r="F69" s="11"/>
      <c r="G69" s="11"/>
      <c r="H69" s="11"/>
      <c r="I69" s="13">
        <v>0.0</v>
      </c>
      <c r="J69" s="13">
        <v>2.0</v>
      </c>
      <c r="K69" s="9" t="str">
        <f>HYPERLINK("http://twitter.com/download/iphone","Twitter for iPhone")</f>
        <v>Twitter for iPhone</v>
      </c>
      <c r="L69" s="14">
        <v>335.0</v>
      </c>
      <c r="M69" s="14">
        <v>736.0</v>
      </c>
      <c r="N69" s="14">
        <v>1.0</v>
      </c>
      <c r="O69" s="15"/>
      <c r="P69" s="16">
        <v>41678.71560185185</v>
      </c>
      <c r="Q69" s="10" t="s">
        <v>683</v>
      </c>
      <c r="R69" s="10" t="s">
        <v>684</v>
      </c>
      <c r="S69" s="11"/>
      <c r="T69" s="11"/>
      <c r="U69" s="17" t="str">
        <f>HYPERLINK("https://pbs.twimg.com/profile_images/1353416617833598976/bnEGcKvE.jpg","View")</f>
        <v>View</v>
      </c>
      <c r="V69" s="11"/>
      <c r="W69" s="11"/>
      <c r="X69" s="11"/>
      <c r="Y69" s="11"/>
      <c r="Z69" s="11"/>
    </row>
    <row r="70">
      <c r="A70" s="8">
        <v>44221.688159722224</v>
      </c>
      <c r="B70" s="9" t="str">
        <f>HYPERLINK("https://twitter.com/Rodrigo3Romero","@Rodrigo3Romero")</f>
        <v>@Rodrigo3Romero</v>
      </c>
      <c r="C70" s="10" t="s">
        <v>685</v>
      </c>
      <c r="D70" s="10" t="s">
        <v>686</v>
      </c>
      <c r="E70" s="9" t="str">
        <f>HYPERLINK("https://twitter.com/Rodrigo3Romero/status/1353862960184233986","1353862960184233986")</f>
        <v>1353862960184233986</v>
      </c>
      <c r="F70" s="12" t="s">
        <v>687</v>
      </c>
      <c r="G70" s="12" t="s">
        <v>688</v>
      </c>
      <c r="H70" s="11"/>
      <c r="I70" s="13">
        <v>0.0</v>
      </c>
      <c r="J70" s="13">
        <v>1.0</v>
      </c>
      <c r="K70" s="9" t="str">
        <f>HYPERLINK("http://twitter.com/download/android","Twitter for Android")</f>
        <v>Twitter for Android</v>
      </c>
      <c r="L70" s="14">
        <v>791.0</v>
      </c>
      <c r="M70" s="14">
        <v>726.0</v>
      </c>
      <c r="N70" s="14">
        <v>0.0</v>
      </c>
      <c r="O70" s="15"/>
      <c r="P70" s="16">
        <v>42340.737280092595</v>
      </c>
      <c r="Q70" s="10" t="s">
        <v>689</v>
      </c>
      <c r="R70" s="10" t="s">
        <v>690</v>
      </c>
      <c r="S70" s="12" t="s">
        <v>691</v>
      </c>
      <c r="T70" s="11"/>
      <c r="U70" s="17" t="str">
        <f>HYPERLINK("https://pbs.twimg.com/profile_images/1229950967564718080/44x7RTgC.jpg","View")</f>
        <v>View</v>
      </c>
      <c r="V70" s="11"/>
      <c r="W70" s="11"/>
      <c r="X70" s="11"/>
      <c r="Y70" s="11"/>
      <c r="Z70" s="11"/>
    </row>
    <row r="71">
      <c r="A71" s="8">
        <v>44221.678611111114</v>
      </c>
      <c r="B71" s="9" t="str">
        <f>HYPERLINK("https://twitter.com/_Agente_Smith","@_Agente_Smith")</f>
        <v>@_Agente_Smith</v>
      </c>
      <c r="C71" s="10" t="s">
        <v>692</v>
      </c>
      <c r="D71" s="10" t="s">
        <v>693</v>
      </c>
      <c r="E71" s="9" t="str">
        <f>HYPERLINK("https://twitter.com/_Agente_Smith/status/1353859496330878977","1353859496330878977")</f>
        <v>1353859496330878977</v>
      </c>
      <c r="F71" s="11"/>
      <c r="G71" s="11"/>
      <c r="H71" s="11"/>
      <c r="I71" s="13">
        <v>0.0</v>
      </c>
      <c r="J71" s="13">
        <v>5.0</v>
      </c>
      <c r="K71" s="9" t="str">
        <f>HYPERLINK("https://mobile.twitter.com","Twitter Web App")</f>
        <v>Twitter Web App</v>
      </c>
      <c r="L71" s="14">
        <v>1285.0</v>
      </c>
      <c r="M71" s="14">
        <v>751.0</v>
      </c>
      <c r="N71" s="14">
        <v>0.0</v>
      </c>
      <c r="O71" s="15"/>
      <c r="P71" s="16">
        <v>43511.67221064815</v>
      </c>
      <c r="Q71" s="11"/>
      <c r="R71" s="10" t="s">
        <v>694</v>
      </c>
      <c r="S71" s="11"/>
      <c r="T71" s="11"/>
      <c r="U71" s="17" t="str">
        <f>HYPERLINK("https://pbs.twimg.com/profile_images/1346957250762596352/iXvnhAt_.jpg","View")</f>
        <v>View</v>
      </c>
      <c r="V71" s="11"/>
      <c r="W71" s="11"/>
      <c r="X71" s="11"/>
      <c r="Y71" s="11"/>
      <c r="Z71" s="11"/>
    </row>
    <row r="72">
      <c r="A72" s="8">
        <v>44221.668437500004</v>
      </c>
      <c r="B72" s="9" t="str">
        <f>HYPERLINK("https://twitter.com/Volcnica2","@Volcnica2")</f>
        <v>@Volcnica2</v>
      </c>
      <c r="C72" s="10" t="s">
        <v>695</v>
      </c>
      <c r="D72" s="10" t="s">
        <v>696</v>
      </c>
      <c r="E72" s="9" t="str">
        <f>HYPERLINK("https://twitter.com/Volcnica2/status/1353855809529257985","1353855809529257985")</f>
        <v>1353855809529257985</v>
      </c>
      <c r="F72" s="12" t="s">
        <v>697</v>
      </c>
      <c r="G72" s="12" t="s">
        <v>698</v>
      </c>
      <c r="H72" s="11"/>
      <c r="I72" s="13">
        <v>1.0</v>
      </c>
      <c r="J72" s="13">
        <v>5.0</v>
      </c>
      <c r="K72" s="9" t="str">
        <f>HYPERLINK("http://twitter.com/download/android","Twitter for Android")</f>
        <v>Twitter for Android</v>
      </c>
      <c r="L72" s="14">
        <v>122.0</v>
      </c>
      <c r="M72" s="14">
        <v>266.0</v>
      </c>
      <c r="N72" s="14">
        <v>0.0</v>
      </c>
      <c r="O72" s="15"/>
      <c r="P72" s="16">
        <v>44159.604050925926</v>
      </c>
      <c r="Q72" s="11"/>
      <c r="R72" s="11"/>
      <c r="S72" s="11"/>
      <c r="T72" s="11"/>
      <c r="U72" s="17" t="str">
        <f>HYPERLINK("https://pbs.twimg.com/profile_images/1331368365760327682/G5ZPYM_F.jpg","View")</f>
        <v>View</v>
      </c>
      <c r="V72" s="11"/>
      <c r="W72" s="11"/>
      <c r="X72" s="11"/>
      <c r="Y72" s="11"/>
      <c r="Z72" s="11"/>
    </row>
    <row r="73">
      <c r="A73" s="8">
        <v>44221.6532175926</v>
      </c>
      <c r="B73" s="9" t="str">
        <f>HYPERLINK("https://twitter.com/remastered_soI","@remastered_soI")</f>
        <v>@remastered_soI</v>
      </c>
      <c r="C73" s="10" t="s">
        <v>699</v>
      </c>
      <c r="D73" s="10" t="s">
        <v>700</v>
      </c>
      <c r="E73" s="9" t="str">
        <f>HYPERLINK("https://twitter.com/remastered_soI/status/1353850297211346944","1353850297211346944")</f>
        <v>1353850297211346944</v>
      </c>
      <c r="F73" s="12" t="s">
        <v>701</v>
      </c>
      <c r="G73" s="11"/>
      <c r="H73" s="11"/>
      <c r="I73" s="13">
        <v>0.0</v>
      </c>
      <c r="J73" s="13">
        <v>16.0</v>
      </c>
      <c r="K73" s="9" t="str">
        <f>HYPERLINK("http://twitter.com/download/iphone","Twitter for iPhone")</f>
        <v>Twitter for iPhone</v>
      </c>
      <c r="L73" s="14">
        <v>1513.0</v>
      </c>
      <c r="M73" s="14">
        <v>565.0</v>
      </c>
      <c r="N73" s="14">
        <v>20.0</v>
      </c>
      <c r="O73" s="15"/>
      <c r="P73" s="16">
        <v>43882.13604166667</v>
      </c>
      <c r="Q73" s="10" t="s">
        <v>702</v>
      </c>
      <c r="R73" s="10" t="s">
        <v>703</v>
      </c>
      <c r="S73" s="12" t="s">
        <v>704</v>
      </c>
      <c r="T73" s="11"/>
      <c r="U73" s="17" t="str">
        <f>HYPERLINK("https://pbs.twimg.com/profile_images/1353367007748640768/87f3xBbo.jpg","View")</f>
        <v>View</v>
      </c>
      <c r="V73" s="11"/>
      <c r="W73" s="11"/>
      <c r="X73" s="11"/>
      <c r="Y73" s="11"/>
      <c r="Z73" s="11"/>
    </row>
    <row r="74">
      <c r="A74" s="8">
        <v>44221.65039351852</v>
      </c>
      <c r="B74" s="9" t="str">
        <f>HYPERLINK("https://twitter.com/Torrezna2","@Torrezna2")</f>
        <v>@Torrezna2</v>
      </c>
      <c r="C74" s="10" t="s">
        <v>705</v>
      </c>
      <c r="D74" s="10" t="s">
        <v>706</v>
      </c>
      <c r="E74" s="9" t="str">
        <f>HYPERLINK("https://twitter.com/Torrezna2/status/1353849271825690626","1353849271825690626")</f>
        <v>1353849271825690626</v>
      </c>
      <c r="F74" s="12" t="s">
        <v>707</v>
      </c>
      <c r="G74" s="12" t="s">
        <v>708</v>
      </c>
      <c r="H74" s="11"/>
      <c r="I74" s="13">
        <v>0.0</v>
      </c>
      <c r="J74" s="13">
        <v>0.0</v>
      </c>
      <c r="K74" s="9" t="str">
        <f t="shared" ref="K74:K78" si="17">HYPERLINK("http://twitter.com/download/android","Twitter for Android")</f>
        <v>Twitter for Android</v>
      </c>
      <c r="L74" s="14">
        <v>484.0</v>
      </c>
      <c r="M74" s="14">
        <v>565.0</v>
      </c>
      <c r="N74" s="14">
        <v>2.0</v>
      </c>
      <c r="O74" s="15"/>
      <c r="P74" s="16">
        <v>43716.30244212963</v>
      </c>
      <c r="Q74" s="10" t="s">
        <v>709</v>
      </c>
      <c r="R74" s="10" t="s">
        <v>710</v>
      </c>
      <c r="S74" s="11"/>
      <c r="T74" s="11"/>
      <c r="U74" s="17" t="str">
        <f>HYPERLINK("https://pbs.twimg.com/profile_images/1170709374479806464/eBt2jJs6.jpg","View")</f>
        <v>View</v>
      </c>
      <c r="V74" s="11"/>
      <c r="W74" s="11"/>
      <c r="X74" s="11"/>
      <c r="Y74" s="11"/>
      <c r="Z74" s="11"/>
    </row>
    <row r="75">
      <c r="A75" s="8">
        <v>44221.6494212963</v>
      </c>
      <c r="B75" s="9" t="str">
        <f>HYPERLINK("https://twitter.com/iKSJR0CK","@iKSJR0CK")</f>
        <v>@iKSJR0CK</v>
      </c>
      <c r="C75" s="10" t="s">
        <v>711</v>
      </c>
      <c r="D75" s="10" t="s">
        <v>712</v>
      </c>
      <c r="E75" s="9" t="str">
        <f>HYPERLINK("https://twitter.com/iKSJR0CK/status/1353848921748090880","1353848921748090880")</f>
        <v>1353848921748090880</v>
      </c>
      <c r="F75" s="12" t="s">
        <v>713</v>
      </c>
      <c r="G75" s="11"/>
      <c r="H75" s="11"/>
      <c r="I75" s="13">
        <v>0.0</v>
      </c>
      <c r="J75" s="13">
        <v>7.0</v>
      </c>
      <c r="K75" s="9" t="str">
        <f t="shared" si="17"/>
        <v>Twitter for Android</v>
      </c>
      <c r="L75" s="14">
        <v>681.0</v>
      </c>
      <c r="M75" s="14">
        <v>480.0</v>
      </c>
      <c r="N75" s="14">
        <v>0.0</v>
      </c>
      <c r="O75" s="15"/>
      <c r="P75" s="16">
        <v>44096.45607638889</v>
      </c>
      <c r="Q75" s="10" t="s">
        <v>714</v>
      </c>
      <c r="R75" s="10" t="s">
        <v>715</v>
      </c>
      <c r="S75" s="12" t="s">
        <v>716</v>
      </c>
      <c r="T75" s="11"/>
      <c r="U75" s="17" t="str">
        <f>HYPERLINK("https://pbs.twimg.com/profile_images/1348089744652193792/vhAKWE-b.jpg","View")</f>
        <v>View</v>
      </c>
      <c r="V75" s="11"/>
      <c r="W75" s="11"/>
      <c r="X75" s="11"/>
      <c r="Y75" s="11"/>
      <c r="Z75" s="11"/>
    </row>
    <row r="76">
      <c r="A76" s="8">
        <v>44221.649351851855</v>
      </c>
      <c r="B76" s="9" t="str">
        <f>HYPERLINK("https://twitter.com/CamelEspecias","@CamelEspecias")</f>
        <v>@CamelEspecias</v>
      </c>
      <c r="C76" s="10" t="s">
        <v>717</v>
      </c>
      <c r="D76" s="10" t="s">
        <v>718</v>
      </c>
      <c r="E76" s="9" t="str">
        <f>HYPERLINK("https://twitter.com/CamelEspecias/status/1353848894413819904","1353848894413819904")</f>
        <v>1353848894413819904</v>
      </c>
      <c r="F76" s="11"/>
      <c r="G76" s="11"/>
      <c r="H76" s="11"/>
      <c r="I76" s="13">
        <v>0.0</v>
      </c>
      <c r="J76" s="13">
        <v>0.0</v>
      </c>
      <c r="K76" s="9" t="str">
        <f t="shared" si="17"/>
        <v>Twitter for Android</v>
      </c>
      <c r="L76" s="14">
        <v>227.0</v>
      </c>
      <c r="M76" s="14">
        <v>98.0</v>
      </c>
      <c r="N76" s="14">
        <v>0.0</v>
      </c>
      <c r="O76" s="15"/>
      <c r="P76" s="16">
        <v>44185.712592592594</v>
      </c>
      <c r="Q76" s="11"/>
      <c r="R76" s="10" t="s">
        <v>719</v>
      </c>
      <c r="S76" s="11"/>
      <c r="T76" s="11"/>
      <c r="U76" s="17" t="str">
        <f>HYPERLINK("https://pbs.twimg.com/profile_images/1348345966496256001/xkKfEME1.jpg","View")</f>
        <v>View</v>
      </c>
      <c r="V76" s="11"/>
      <c r="W76" s="11"/>
      <c r="X76" s="11"/>
      <c r="Y76" s="11"/>
      <c r="Z76" s="11"/>
    </row>
    <row r="77">
      <c r="A77" s="8">
        <v>44221.6337962963</v>
      </c>
      <c r="B77" s="9" t="str">
        <f>HYPERLINK("https://twitter.com/alejafcb02","@alejafcb02")</f>
        <v>@alejafcb02</v>
      </c>
      <c r="C77" s="10" t="s">
        <v>720</v>
      </c>
      <c r="D77" s="10" t="s">
        <v>721</v>
      </c>
      <c r="E77" s="9" t="str">
        <f>HYPERLINK("https://twitter.com/alejafcb02/status/1353843257961279489","1353843257961279489")</f>
        <v>1353843257961279489</v>
      </c>
      <c r="F77" s="10" t="s">
        <v>722</v>
      </c>
      <c r="G77" s="12" t="s">
        <v>723</v>
      </c>
      <c r="H77" s="11"/>
      <c r="I77" s="13">
        <v>0.0</v>
      </c>
      <c r="J77" s="13">
        <v>1.0</v>
      </c>
      <c r="K77" s="9" t="str">
        <f t="shared" si="17"/>
        <v>Twitter for Android</v>
      </c>
      <c r="L77" s="14">
        <v>184.0</v>
      </c>
      <c r="M77" s="14">
        <v>219.0</v>
      </c>
      <c r="N77" s="14">
        <v>0.0</v>
      </c>
      <c r="O77" s="15"/>
      <c r="P77" s="16">
        <v>44121.789502314816</v>
      </c>
      <c r="Q77" s="10" t="s">
        <v>490</v>
      </c>
      <c r="R77" s="10" t="s">
        <v>724</v>
      </c>
      <c r="S77" s="11"/>
      <c r="T77" s="11"/>
      <c r="U77" s="17" t="str">
        <f>HYPERLINK("https://pbs.twimg.com/profile_images/1354059873407946752/2WZJDAaA.jpg","View")</f>
        <v>View</v>
      </c>
      <c r="V77" s="11"/>
      <c r="W77" s="11"/>
      <c r="X77" s="11"/>
      <c r="Y77" s="11"/>
      <c r="Z77" s="11"/>
    </row>
    <row r="78">
      <c r="A78" s="8">
        <v>44221.62094907407</v>
      </c>
      <c r="B78" s="9" t="str">
        <f>HYPERLINK("https://twitter.com/CamelEspecias","@CamelEspecias")</f>
        <v>@CamelEspecias</v>
      </c>
      <c r="C78" s="10" t="s">
        <v>717</v>
      </c>
      <c r="D78" s="10" t="s">
        <v>725</v>
      </c>
      <c r="E78" s="9" t="str">
        <f>HYPERLINK("https://twitter.com/CamelEspecias/status/1353838601017110530","1353838601017110530")</f>
        <v>1353838601017110530</v>
      </c>
      <c r="F78" s="11"/>
      <c r="G78" s="11"/>
      <c r="H78" s="11"/>
      <c r="I78" s="13">
        <v>0.0</v>
      </c>
      <c r="J78" s="13">
        <v>0.0</v>
      </c>
      <c r="K78" s="9" t="str">
        <f t="shared" si="17"/>
        <v>Twitter for Android</v>
      </c>
      <c r="L78" s="14">
        <v>227.0</v>
      </c>
      <c r="M78" s="14">
        <v>98.0</v>
      </c>
      <c r="N78" s="14">
        <v>0.0</v>
      </c>
      <c r="O78" s="15"/>
      <c r="P78" s="16">
        <v>44185.712592592594</v>
      </c>
      <c r="Q78" s="11"/>
      <c r="R78" s="10" t="s">
        <v>719</v>
      </c>
      <c r="S78" s="11"/>
      <c r="T78" s="11"/>
      <c r="U78" s="17" t="str">
        <f>HYPERLINK("https://pbs.twimg.com/profile_images/1348345966496256001/xkKfEME1.jpg","View")</f>
        <v>View</v>
      </c>
      <c r="V78" s="11"/>
      <c r="W78" s="11"/>
      <c r="X78" s="11"/>
      <c r="Y78" s="11"/>
      <c r="Z78" s="11"/>
    </row>
    <row r="79">
      <c r="A79" s="8">
        <v>44221.61278935186</v>
      </c>
      <c r="B79" s="9" t="str">
        <f>HYPERLINK("https://twitter.com/eVampire2","@eVampire2")</f>
        <v>@eVampire2</v>
      </c>
      <c r="C79" s="10" t="s">
        <v>726</v>
      </c>
      <c r="D79" s="10" t="s">
        <v>727</v>
      </c>
      <c r="E79" s="9" t="str">
        <f>HYPERLINK("https://twitter.com/eVampire2/status/1353835644003487744","1353835644003487744")</f>
        <v>1353835644003487744</v>
      </c>
      <c r="F79" s="11"/>
      <c r="G79" s="11"/>
      <c r="H79" s="11"/>
      <c r="I79" s="13">
        <v>0.0</v>
      </c>
      <c r="J79" s="13">
        <v>1.0</v>
      </c>
      <c r="K79" s="9" t="str">
        <f>HYPERLINK("https://mobile.twitter.com","Twitter Web App")</f>
        <v>Twitter Web App</v>
      </c>
      <c r="L79" s="14">
        <v>371.0</v>
      </c>
      <c r="M79" s="14">
        <v>726.0</v>
      </c>
      <c r="N79" s="14">
        <v>1.0</v>
      </c>
      <c r="O79" s="15"/>
      <c r="P79" s="16">
        <v>43155.705312499995</v>
      </c>
      <c r="Q79" s="10" t="s">
        <v>728</v>
      </c>
      <c r="R79" s="10" t="s">
        <v>729</v>
      </c>
      <c r="S79" s="12" t="s">
        <v>730</v>
      </c>
      <c r="T79" s="11"/>
      <c r="U79" s="17" t="str">
        <f>HYPERLINK("https://pbs.twimg.com/profile_images/1342910835488923648/lpvtL4z9.jpg","View")</f>
        <v>View</v>
      </c>
      <c r="V79" s="11"/>
      <c r="W79" s="11"/>
      <c r="X79" s="11"/>
      <c r="Y79" s="11"/>
      <c r="Z79" s="11"/>
    </row>
    <row r="80">
      <c r="A80" s="8">
        <v>44221.607511574075</v>
      </c>
      <c r="B80" s="9" t="str">
        <f>HYPERLINK("https://twitter.com/angiedviera","@angiedviera")</f>
        <v>@angiedviera</v>
      </c>
      <c r="C80" s="10" t="s">
        <v>731</v>
      </c>
      <c r="D80" s="10" t="s">
        <v>732</v>
      </c>
      <c r="E80" s="9" t="str">
        <f>HYPERLINK("https://twitter.com/angiedviera/status/1353833731807707137","1353833731807707137")</f>
        <v>1353833731807707137</v>
      </c>
      <c r="F80" s="11"/>
      <c r="G80" s="11"/>
      <c r="H80" s="11"/>
      <c r="I80" s="13">
        <v>0.0</v>
      </c>
      <c r="J80" s="13">
        <v>5.0</v>
      </c>
      <c r="K80" s="9" t="str">
        <f>HYPERLINK("http://twitter.com/download/android","Twitter for Android")</f>
        <v>Twitter for Android</v>
      </c>
      <c r="L80" s="14">
        <v>280.0</v>
      </c>
      <c r="M80" s="14">
        <v>256.0</v>
      </c>
      <c r="N80" s="14">
        <v>0.0</v>
      </c>
      <c r="O80" s="15"/>
      <c r="P80" s="16">
        <v>43899.84127314815</v>
      </c>
      <c r="Q80" s="10" t="s">
        <v>733</v>
      </c>
      <c r="R80" s="10" t="s">
        <v>734</v>
      </c>
      <c r="S80" s="11"/>
      <c r="T80" s="11"/>
      <c r="U80" s="17" t="str">
        <f>HYPERLINK("https://pbs.twimg.com/profile_images/1352268200306745346/mGi0bbfa.jpg","View")</f>
        <v>View</v>
      </c>
      <c r="V80" s="11"/>
      <c r="W80" s="11"/>
      <c r="X80" s="11"/>
      <c r="Y80" s="11"/>
      <c r="Z80" s="11"/>
    </row>
    <row r="81">
      <c r="A81" s="8">
        <v>44221.60539351852</v>
      </c>
      <c r="B81" s="9" t="str">
        <f>HYPERLINK("https://twitter.com/itsverakingsley","@itsverakingsley")</f>
        <v>@itsverakingsley</v>
      </c>
      <c r="C81" s="10" t="s">
        <v>735</v>
      </c>
      <c r="D81" s="10" t="s">
        <v>736</v>
      </c>
      <c r="E81" s="9" t="str">
        <f>HYPERLINK("https://twitter.com/itsverakingsley/status/1353832964463980544","1353832964463980544")</f>
        <v>1353832964463980544</v>
      </c>
      <c r="F81" s="11"/>
      <c r="G81" s="11"/>
      <c r="H81" s="11"/>
      <c r="I81" s="13">
        <v>0.0</v>
      </c>
      <c r="J81" s="13">
        <v>5.0</v>
      </c>
      <c r="K81" s="9" t="str">
        <f t="shared" ref="K81:K82" si="18">HYPERLINK("https://mobile.twitter.com","Twitter Web App")</f>
        <v>Twitter Web App</v>
      </c>
      <c r="L81" s="14">
        <v>383.0</v>
      </c>
      <c r="M81" s="14">
        <v>336.0</v>
      </c>
      <c r="N81" s="14">
        <v>1.0</v>
      </c>
      <c r="O81" s="15"/>
      <c r="P81" s="16">
        <v>41755.41920138889</v>
      </c>
      <c r="Q81" s="10" t="s">
        <v>737</v>
      </c>
      <c r="R81" s="10" t="s">
        <v>738</v>
      </c>
      <c r="S81" s="11"/>
      <c r="T81" s="11"/>
      <c r="U81" s="17" t="str">
        <f>HYPERLINK("https://pbs.twimg.com/profile_images/1351561167781683201/qmL6U1w3.jpg","View")</f>
        <v>View</v>
      </c>
      <c r="V81" s="11"/>
      <c r="W81" s="11"/>
      <c r="X81" s="11"/>
      <c r="Y81" s="11"/>
      <c r="Z81" s="11"/>
    </row>
    <row r="82">
      <c r="A82" s="8">
        <v>44221.59538194444</v>
      </c>
      <c r="B82" s="9" t="str">
        <f>HYPERLINK("https://twitter.com/Angel300Oficial","@Angel300Oficial")</f>
        <v>@Angel300Oficial</v>
      </c>
      <c r="C82" s="10" t="s">
        <v>739</v>
      </c>
      <c r="D82" s="10" t="s">
        <v>740</v>
      </c>
      <c r="E82" s="9" t="str">
        <f>HYPERLINK("https://twitter.com/Angel300Oficial/status/1353829336063860738","1353829336063860738")</f>
        <v>1353829336063860738</v>
      </c>
      <c r="F82" s="12" t="s">
        <v>741</v>
      </c>
      <c r="G82" s="12" t="s">
        <v>742</v>
      </c>
      <c r="H82" s="11"/>
      <c r="I82" s="13">
        <v>0.0</v>
      </c>
      <c r="J82" s="13">
        <v>0.0</v>
      </c>
      <c r="K82" s="9" t="str">
        <f t="shared" si="18"/>
        <v>Twitter Web App</v>
      </c>
      <c r="L82" s="14">
        <v>29.0</v>
      </c>
      <c r="M82" s="14">
        <v>30.0</v>
      </c>
      <c r="N82" s="14">
        <v>0.0</v>
      </c>
      <c r="O82" s="15"/>
      <c r="P82" s="16">
        <v>42471.51909722222</v>
      </c>
      <c r="Q82" s="10" t="s">
        <v>743</v>
      </c>
      <c r="R82" s="10" t="s">
        <v>744</v>
      </c>
      <c r="S82" s="12" t="s">
        <v>745</v>
      </c>
      <c r="T82" s="11"/>
      <c r="U82" s="17" t="str">
        <f>HYPERLINK("https://pbs.twimg.com/profile_images/1353064546081017862/8OSyGf6k.jpg","View")</f>
        <v>View</v>
      </c>
      <c r="V82" s="11"/>
      <c r="W82" s="11"/>
      <c r="X82" s="11"/>
      <c r="Y82" s="11"/>
      <c r="Z82" s="11"/>
    </row>
    <row r="83">
      <c r="A83" s="8">
        <v>44221.570138888885</v>
      </c>
      <c r="B83" s="9" t="str">
        <f>HYPERLINK("https://twitter.com/Pepiner_MR","@Pepiner_MR")</f>
        <v>@Pepiner_MR</v>
      </c>
      <c r="C83" s="10" t="s">
        <v>746</v>
      </c>
      <c r="D83" s="10" t="s">
        <v>747</v>
      </c>
      <c r="E83" s="9" t="str">
        <f>HYPERLINK("https://twitter.com/Pepiner_MR/status/1353820190878916609","1353820190878916609")</f>
        <v>1353820190878916609</v>
      </c>
      <c r="F83" s="12" t="s">
        <v>748</v>
      </c>
      <c r="G83" s="10" t="s">
        <v>749</v>
      </c>
      <c r="H83" s="11"/>
      <c r="I83" s="13">
        <v>0.0</v>
      </c>
      <c r="J83" s="13">
        <v>15.0</v>
      </c>
      <c r="K83" s="9" t="str">
        <f t="shared" ref="K83:K85" si="19">HYPERLINK("http://twitter.com/download/android","Twitter for Android")</f>
        <v>Twitter for Android</v>
      </c>
      <c r="L83" s="14">
        <v>392.0</v>
      </c>
      <c r="M83" s="14">
        <v>307.0</v>
      </c>
      <c r="N83" s="14">
        <v>12.0</v>
      </c>
      <c r="O83" s="15"/>
      <c r="P83" s="16">
        <v>41453.547743055555</v>
      </c>
      <c r="Q83" s="11"/>
      <c r="R83" s="10" t="s">
        <v>750</v>
      </c>
      <c r="S83" s="11"/>
      <c r="T83" s="11"/>
      <c r="U83" s="17" t="str">
        <f>HYPERLINK("https://pbs.twimg.com/profile_images/1342037426974449670/C745I0rV.jpg","View")</f>
        <v>View</v>
      </c>
      <c r="V83" s="11"/>
      <c r="W83" s="11"/>
      <c r="X83" s="11"/>
      <c r="Y83" s="11"/>
      <c r="Z83" s="11"/>
    </row>
    <row r="84">
      <c r="A84" s="8">
        <v>44221.56744212963</v>
      </c>
      <c r="B84" s="9" t="str">
        <f>HYPERLINK("https://twitter.com/onlyqueensx","@onlyqueensx")</f>
        <v>@onlyqueensx</v>
      </c>
      <c r="C84" s="10" t="s">
        <v>751</v>
      </c>
      <c r="D84" s="10" t="s">
        <v>752</v>
      </c>
      <c r="E84" s="9" t="str">
        <f>HYPERLINK("https://twitter.com/onlyqueensx/status/1353819211953483777","1353819211953483777")</f>
        <v>1353819211953483777</v>
      </c>
      <c r="F84" s="11"/>
      <c r="G84" s="11"/>
      <c r="H84" s="11"/>
      <c r="I84" s="13">
        <v>0.0</v>
      </c>
      <c r="J84" s="13">
        <v>2.0</v>
      </c>
      <c r="K84" s="9" t="str">
        <f t="shared" si="19"/>
        <v>Twitter for Android</v>
      </c>
      <c r="L84" s="14">
        <v>989.0</v>
      </c>
      <c r="M84" s="14">
        <v>1143.0</v>
      </c>
      <c r="N84" s="14">
        <v>16.0</v>
      </c>
      <c r="O84" s="15"/>
      <c r="P84" s="16">
        <v>43947.625185185185</v>
      </c>
      <c r="Q84" s="10" t="s">
        <v>753</v>
      </c>
      <c r="R84" s="10" t="s">
        <v>754</v>
      </c>
      <c r="S84" s="11"/>
      <c r="T84" s="11"/>
      <c r="U84" s="17" t="str">
        <f>HYPERLINK("https://pbs.twimg.com/profile_images/1351552433575620613/wgk4j08U.jpg","View")</f>
        <v>View</v>
      </c>
      <c r="V84" s="11"/>
      <c r="W84" s="11"/>
      <c r="X84" s="11"/>
      <c r="Y84" s="11"/>
      <c r="Z84" s="11"/>
    </row>
    <row r="85">
      <c r="A85" s="8">
        <v>44221.556701388894</v>
      </c>
      <c r="B85" s="9" t="str">
        <f>HYPERLINK("https://twitter.com/mariigr113","@mariigr113")</f>
        <v>@mariigr113</v>
      </c>
      <c r="C85" s="10" t="s">
        <v>755</v>
      </c>
      <c r="D85" s="10" t="s">
        <v>756</v>
      </c>
      <c r="E85" s="9" t="str">
        <f>HYPERLINK("https://twitter.com/mariigr113/status/1353815319849168897","1353815319849168897")</f>
        <v>1353815319849168897</v>
      </c>
      <c r="F85" s="12" t="s">
        <v>757</v>
      </c>
      <c r="G85" s="12" t="s">
        <v>758</v>
      </c>
      <c r="H85" s="11"/>
      <c r="I85" s="13">
        <v>0.0</v>
      </c>
      <c r="J85" s="13">
        <v>0.0</v>
      </c>
      <c r="K85" s="9" t="str">
        <f t="shared" si="19"/>
        <v>Twitter for Android</v>
      </c>
      <c r="L85" s="14">
        <v>90.0</v>
      </c>
      <c r="M85" s="14">
        <v>373.0</v>
      </c>
      <c r="N85" s="14">
        <v>2.0</v>
      </c>
      <c r="O85" s="15"/>
      <c r="P85" s="16">
        <v>43044.54626157407</v>
      </c>
      <c r="Q85" s="10" t="s">
        <v>55</v>
      </c>
      <c r="R85" s="10" t="s">
        <v>759</v>
      </c>
      <c r="S85" s="11"/>
      <c r="T85" s="11"/>
      <c r="U85" s="17" t="str">
        <f>HYPERLINK("https://pbs.twimg.com/profile_images/1352371050655461377/p0MKodg6.jpg","View")</f>
        <v>View</v>
      </c>
      <c r="V85" s="11"/>
      <c r="W85" s="11"/>
      <c r="X85" s="11"/>
      <c r="Y85" s="11"/>
      <c r="Z85" s="11"/>
    </row>
    <row r="86">
      <c r="A86" s="8">
        <v>44221.55532407407</v>
      </c>
      <c r="B86" s="9" t="str">
        <f>HYPERLINK("https://twitter.com/PauloCutre","@PauloCutre")</f>
        <v>@PauloCutre</v>
      </c>
      <c r="C86" s="10" t="s">
        <v>760</v>
      </c>
      <c r="D86" s="10" t="s">
        <v>761</v>
      </c>
      <c r="E86" s="9" t="str">
        <f>HYPERLINK("https://twitter.com/PauloCutre/status/1353814819988787202","1353814819988787202")</f>
        <v>1353814819988787202</v>
      </c>
      <c r="F86" s="10" t="s">
        <v>762</v>
      </c>
      <c r="G86" s="11"/>
      <c r="H86" s="11"/>
      <c r="I86" s="13">
        <v>0.0</v>
      </c>
      <c r="J86" s="13">
        <v>0.0</v>
      </c>
      <c r="K86" s="9" t="str">
        <f>HYPERLINK("http://twitter.com/download/iphone","Twitter for iPhone")</f>
        <v>Twitter for iPhone</v>
      </c>
      <c r="L86" s="14">
        <v>282.0</v>
      </c>
      <c r="M86" s="14">
        <v>509.0</v>
      </c>
      <c r="N86" s="14">
        <v>2.0</v>
      </c>
      <c r="O86" s="15"/>
      <c r="P86" s="16">
        <v>43143.453055555554</v>
      </c>
      <c r="Q86" s="10" t="s">
        <v>763</v>
      </c>
      <c r="R86" s="10" t="s">
        <v>764</v>
      </c>
      <c r="S86" s="11"/>
      <c r="T86" s="11"/>
      <c r="U86" s="17" t="str">
        <f>HYPERLINK("https://pbs.twimg.com/profile_images/1029805547028197379/BBJu7gYm.jpg","View")</f>
        <v>View</v>
      </c>
      <c r="V86" s="11"/>
      <c r="W86" s="11"/>
      <c r="X86" s="11"/>
      <c r="Y86" s="11"/>
      <c r="Z86" s="11"/>
    </row>
    <row r="87">
      <c r="A87" s="8">
        <v>44221.54194444444</v>
      </c>
      <c r="B87" s="9" t="str">
        <f>HYPERLINK("https://twitter.com/R0SIEJNK","@R0SIEJNK")</f>
        <v>@R0SIEJNK</v>
      </c>
      <c r="C87" s="10" t="s">
        <v>765</v>
      </c>
      <c r="D87" s="10" t="s">
        <v>766</v>
      </c>
      <c r="E87" s="9" t="str">
        <f>HYPERLINK("https://twitter.com/R0SIEJNK/status/1353809973562798081","1353809973562798081")</f>
        <v>1353809973562798081</v>
      </c>
      <c r="F87" s="11"/>
      <c r="G87" s="11"/>
      <c r="H87" s="11"/>
      <c r="I87" s="13">
        <v>0.0</v>
      </c>
      <c r="J87" s="13">
        <v>0.0</v>
      </c>
      <c r="K87" s="9" t="str">
        <f>HYPERLINK("http://twitter.com/download/android","Twitter for Android")</f>
        <v>Twitter for Android</v>
      </c>
      <c r="L87" s="14">
        <v>355.0</v>
      </c>
      <c r="M87" s="14">
        <v>328.0</v>
      </c>
      <c r="N87" s="14">
        <v>4.0</v>
      </c>
      <c r="O87" s="15"/>
      <c r="P87" s="16">
        <v>43843.531793981485</v>
      </c>
      <c r="Q87" s="10" t="s">
        <v>767</v>
      </c>
      <c r="R87" s="10" t="s">
        <v>768</v>
      </c>
      <c r="S87" s="12" t="s">
        <v>769</v>
      </c>
      <c r="T87" s="11"/>
      <c r="U87" s="17" t="str">
        <f>HYPERLINK("https://pbs.twimg.com/profile_images/1354143535411421188/4Ac174Nn.jpg","View")</f>
        <v>View</v>
      </c>
      <c r="V87" s="11"/>
      <c r="W87" s="11"/>
      <c r="X87" s="11"/>
      <c r="Y87" s="11"/>
      <c r="Z87" s="11"/>
    </row>
    <row r="88">
      <c r="A88" s="8">
        <v>44221.52546296296</v>
      </c>
      <c r="B88" s="9" t="str">
        <f>HYPERLINK("https://twitter.com/remastered_soI","@remastered_soI")</f>
        <v>@remastered_soI</v>
      </c>
      <c r="C88" s="10" t="s">
        <v>699</v>
      </c>
      <c r="D88" s="10" t="s">
        <v>770</v>
      </c>
      <c r="E88" s="9" t="str">
        <f>HYPERLINK("https://twitter.com/remastered_soI/status/1353803998663380992","1353803998663380992")</f>
        <v>1353803998663380992</v>
      </c>
      <c r="F88" s="12" t="s">
        <v>771</v>
      </c>
      <c r="G88" s="12" t="s">
        <v>772</v>
      </c>
      <c r="H88" s="11"/>
      <c r="I88" s="13">
        <v>0.0</v>
      </c>
      <c r="J88" s="13">
        <v>25.0</v>
      </c>
      <c r="K88" s="9" t="str">
        <f t="shared" ref="K88:K89" si="20">HYPERLINK("http://twitter.com/download/iphone","Twitter for iPhone")</f>
        <v>Twitter for iPhone</v>
      </c>
      <c r="L88" s="14">
        <v>1513.0</v>
      </c>
      <c r="M88" s="14">
        <v>565.0</v>
      </c>
      <c r="N88" s="14">
        <v>20.0</v>
      </c>
      <c r="O88" s="15"/>
      <c r="P88" s="16">
        <v>43882.13604166667</v>
      </c>
      <c r="Q88" s="10" t="s">
        <v>702</v>
      </c>
      <c r="R88" s="10" t="s">
        <v>703</v>
      </c>
      <c r="S88" s="12" t="s">
        <v>704</v>
      </c>
      <c r="T88" s="11"/>
      <c r="U88" s="17" t="str">
        <f>HYPERLINK("https://pbs.twimg.com/profile_images/1353367007748640768/87f3xBbo.jpg","View")</f>
        <v>View</v>
      </c>
      <c r="V88" s="11"/>
      <c r="W88" s="11"/>
      <c r="X88" s="11"/>
      <c r="Y88" s="11"/>
      <c r="Z88" s="11"/>
    </row>
    <row r="89">
      <c r="A89" s="8">
        <v>44221.524930555555</v>
      </c>
      <c r="B89" s="9" t="str">
        <f>HYPERLINK("https://twitter.com/sofi4president","@sofi4president")</f>
        <v>@sofi4president</v>
      </c>
      <c r="C89" s="10" t="s">
        <v>773</v>
      </c>
      <c r="D89" s="10" t="s">
        <v>774</v>
      </c>
      <c r="E89" s="9" t="str">
        <f>HYPERLINK("https://twitter.com/sofi4president/status/1353803805738070017","1353803805738070017")</f>
        <v>1353803805738070017</v>
      </c>
      <c r="F89" s="11"/>
      <c r="G89" s="12" t="s">
        <v>775</v>
      </c>
      <c r="H89" s="11"/>
      <c r="I89" s="13">
        <v>0.0</v>
      </c>
      <c r="J89" s="13">
        <v>0.0</v>
      </c>
      <c r="K89" s="9" t="str">
        <f t="shared" si="20"/>
        <v>Twitter for iPhone</v>
      </c>
      <c r="L89" s="14">
        <v>27.0</v>
      </c>
      <c r="M89" s="14">
        <v>134.0</v>
      </c>
      <c r="N89" s="14">
        <v>0.0</v>
      </c>
      <c r="O89" s="15"/>
      <c r="P89" s="16">
        <v>42581.894004629634</v>
      </c>
      <c r="Q89" s="10" t="s">
        <v>55</v>
      </c>
      <c r="R89" s="10" t="s">
        <v>776</v>
      </c>
      <c r="S89" s="12" t="s">
        <v>777</v>
      </c>
      <c r="T89" s="11"/>
      <c r="U89" s="17" t="str">
        <f>HYPERLINK("https://pbs.twimg.com/profile_images/1352730280558268416/Lq8Lphgf.jpg","View")</f>
        <v>View</v>
      </c>
      <c r="V89" s="11"/>
      <c r="W89" s="11"/>
      <c r="X89" s="11"/>
      <c r="Y89" s="11"/>
      <c r="Z89" s="11"/>
    </row>
    <row r="90">
      <c r="A90" s="8">
        <v>44221.523935185185</v>
      </c>
      <c r="B90" s="9" t="str">
        <f>HYPERLINK("https://twitter.com/svenska98s","@svenska98s")</f>
        <v>@svenska98s</v>
      </c>
      <c r="C90" s="10" t="s">
        <v>778</v>
      </c>
      <c r="D90" s="10" t="s">
        <v>779</v>
      </c>
      <c r="E90" s="9" t="str">
        <f>HYPERLINK("https://twitter.com/svenska98s/status/1353803447267688449","1353803447267688449")</f>
        <v>1353803447267688449</v>
      </c>
      <c r="F90" s="11"/>
      <c r="G90" s="12" t="s">
        <v>780</v>
      </c>
      <c r="H90" s="11"/>
      <c r="I90" s="13">
        <v>0.0</v>
      </c>
      <c r="J90" s="13">
        <v>1.0</v>
      </c>
      <c r="K90" s="9" t="str">
        <f>HYPERLINK("https://mobile.twitter.com","Twitter Web App")</f>
        <v>Twitter Web App</v>
      </c>
      <c r="L90" s="14">
        <v>657.0</v>
      </c>
      <c r="M90" s="14">
        <v>401.0</v>
      </c>
      <c r="N90" s="14">
        <v>1.0</v>
      </c>
      <c r="O90" s="15"/>
      <c r="P90" s="16">
        <v>43216.193125000005</v>
      </c>
      <c r="Q90" s="10" t="s">
        <v>781</v>
      </c>
      <c r="R90" s="11"/>
      <c r="S90" s="11"/>
      <c r="T90" s="11"/>
      <c r="U90" s="17" t="str">
        <f>HYPERLINK("https://pbs.twimg.com/profile_images/1351237587785183234/In5K4-Zu.jpg","View")</f>
        <v>View</v>
      </c>
      <c r="V90" s="11"/>
      <c r="W90" s="11"/>
      <c r="X90" s="11"/>
      <c r="Y90" s="11"/>
      <c r="Z90" s="11"/>
    </row>
    <row r="91">
      <c r="A91" s="8">
        <v>44221.51565972222</v>
      </c>
      <c r="B91" s="9" t="str">
        <f>HYPERLINK("https://twitter.com/sheltonclyde9","@sheltonclyde9")</f>
        <v>@sheltonclyde9</v>
      </c>
      <c r="C91" s="10" t="s">
        <v>539</v>
      </c>
      <c r="D91" s="10" t="s">
        <v>782</v>
      </c>
      <c r="E91" s="9" t="str">
        <f>HYPERLINK("https://twitter.com/sheltonclyde9/status/1353800447899930624","1353800447899930624")</f>
        <v>1353800447899930624</v>
      </c>
      <c r="F91" s="10" t="s">
        <v>783</v>
      </c>
      <c r="G91" s="11"/>
      <c r="H91" s="11"/>
      <c r="I91" s="13">
        <v>8.0</v>
      </c>
      <c r="J91" s="13">
        <v>12.0</v>
      </c>
      <c r="K91" s="9" t="str">
        <f t="shared" ref="K91:K92" si="21">HYPERLINK("http://twitter.com/download/android","Twitter for Android")</f>
        <v>Twitter for Android</v>
      </c>
      <c r="L91" s="14">
        <v>2362.0</v>
      </c>
      <c r="M91" s="14">
        <v>1064.0</v>
      </c>
      <c r="N91" s="14">
        <v>3.0</v>
      </c>
      <c r="O91" s="15"/>
      <c r="P91" s="16">
        <v>44168.07454861111</v>
      </c>
      <c r="Q91" s="10" t="s">
        <v>542</v>
      </c>
      <c r="R91" s="10" t="s">
        <v>543</v>
      </c>
      <c r="S91" s="11"/>
      <c r="T91" s="11"/>
      <c r="U91" s="17" t="str">
        <f>HYPERLINK("https://pbs.twimg.com/profile_images/1334434543076564992/Q4kfkgiO.jpg","View")</f>
        <v>View</v>
      </c>
      <c r="V91" s="11"/>
      <c r="W91" s="11"/>
      <c r="X91" s="11"/>
      <c r="Y91" s="11"/>
      <c r="Z91" s="11"/>
    </row>
    <row r="92">
      <c r="A92" s="8">
        <v>44221.50916666667</v>
      </c>
      <c r="B92" s="9" t="str">
        <f>HYPERLINK("https://twitter.com/_ItsRuubeen_","@_ItsRuubeen_")</f>
        <v>@_ItsRuubeen_</v>
      </c>
      <c r="C92" s="10" t="s">
        <v>784</v>
      </c>
      <c r="D92" s="10" t="s">
        <v>785</v>
      </c>
      <c r="E92" s="9" t="str">
        <f>HYPERLINK("https://twitter.com/_ItsRuubeen_/status/1353798091665674240","1353798091665674240")</f>
        <v>1353798091665674240</v>
      </c>
      <c r="F92" s="11"/>
      <c r="G92" s="12" t="s">
        <v>786</v>
      </c>
      <c r="H92" s="11"/>
      <c r="I92" s="13">
        <v>0.0</v>
      </c>
      <c r="J92" s="13">
        <v>1.0</v>
      </c>
      <c r="K92" s="9" t="str">
        <f t="shared" si="21"/>
        <v>Twitter for Android</v>
      </c>
      <c r="L92" s="14">
        <v>430.0</v>
      </c>
      <c r="M92" s="14">
        <v>274.0</v>
      </c>
      <c r="N92" s="14">
        <v>12.0</v>
      </c>
      <c r="O92" s="15"/>
      <c r="P92" s="16">
        <v>43941.19591435185</v>
      </c>
      <c r="Q92" s="11"/>
      <c r="R92" s="10" t="s">
        <v>787</v>
      </c>
      <c r="S92" s="11"/>
      <c r="T92" s="11"/>
      <c r="U92" s="17" t="str">
        <f>HYPERLINK("https://pbs.twimg.com/profile_images/1352319296928669701/RHpuMJ0O.jpg","View")</f>
        <v>View</v>
      </c>
      <c r="V92" s="11"/>
      <c r="W92" s="11"/>
      <c r="X92" s="11"/>
      <c r="Y92" s="11"/>
      <c r="Z92" s="11"/>
    </row>
    <row r="93">
      <c r="A93" s="8">
        <v>44221.49239583334</v>
      </c>
      <c r="B93" s="9" t="str">
        <f>HYPERLINK("https://twitter.com/OwenBenP","@OwenBenP")</f>
        <v>@OwenBenP</v>
      </c>
      <c r="C93" s="10" t="s">
        <v>788</v>
      </c>
      <c r="D93" s="10" t="s">
        <v>789</v>
      </c>
      <c r="E93" s="9" t="str">
        <f>HYPERLINK("https://twitter.com/OwenBenP/status/1353792017336209408","1353792017336209408")</f>
        <v>1353792017336209408</v>
      </c>
      <c r="F93" s="11"/>
      <c r="G93" s="11"/>
      <c r="H93" s="11"/>
      <c r="I93" s="13">
        <v>0.0</v>
      </c>
      <c r="J93" s="13">
        <v>1.0</v>
      </c>
      <c r="K93" s="9" t="str">
        <f>HYPERLINK("http://twitter.com/download/iphone","Twitter for iPhone")</f>
        <v>Twitter for iPhone</v>
      </c>
      <c r="L93" s="14">
        <v>283.0</v>
      </c>
      <c r="M93" s="14">
        <v>99.0</v>
      </c>
      <c r="N93" s="14">
        <v>0.0</v>
      </c>
      <c r="O93" s="15"/>
      <c r="P93" s="16">
        <v>40593.733402777776</v>
      </c>
      <c r="Q93" s="11"/>
      <c r="R93" s="10" t="s">
        <v>790</v>
      </c>
      <c r="S93" s="12" t="s">
        <v>791</v>
      </c>
      <c r="T93" s="11"/>
      <c r="U93" s="17" t="str">
        <f>HYPERLINK("https://pbs.twimg.com/profile_images/1259852424782675970/LyjTju_U.jpg","View")</f>
        <v>View</v>
      </c>
      <c r="V93" s="11"/>
      <c r="W93" s="11"/>
      <c r="X93" s="11"/>
      <c r="Y93" s="11"/>
      <c r="Z93" s="11"/>
    </row>
    <row r="94">
      <c r="A94" s="8">
        <v>44221.484085648146</v>
      </c>
      <c r="B94" s="9" t="str">
        <f>HYPERLINK("https://twitter.com/iam_universe9","@iam_universe9")</f>
        <v>@iam_universe9</v>
      </c>
      <c r="C94" s="10" t="s">
        <v>792</v>
      </c>
      <c r="D94" s="10" t="s">
        <v>793</v>
      </c>
      <c r="E94" s="9" t="str">
        <f>HYPERLINK("https://twitter.com/iam_universe9/status/1353789003225591809","1353789003225591809")</f>
        <v>1353789003225591809</v>
      </c>
      <c r="F94" s="10" t="s">
        <v>794</v>
      </c>
      <c r="G94" s="11"/>
      <c r="H94" s="11"/>
      <c r="I94" s="13">
        <v>0.0</v>
      </c>
      <c r="J94" s="13">
        <v>0.0</v>
      </c>
      <c r="K94" s="9" t="str">
        <f>HYPERLINK("http://twitter.com/download/android","Twitter for Android")</f>
        <v>Twitter for Android</v>
      </c>
      <c r="L94" s="14">
        <v>69.0</v>
      </c>
      <c r="M94" s="14">
        <v>208.0</v>
      </c>
      <c r="N94" s="14">
        <v>1.0</v>
      </c>
      <c r="O94" s="15"/>
      <c r="P94" s="16">
        <v>42549.49711805556</v>
      </c>
      <c r="Q94" s="10" t="s">
        <v>795</v>
      </c>
      <c r="R94" s="10" t="s">
        <v>796</v>
      </c>
      <c r="S94" s="11"/>
      <c r="T94" s="11"/>
      <c r="U94" s="17" t="str">
        <f>HYPERLINK("https://pbs.twimg.com/profile_images/1349060705367060480/NTaqfhrj.jpg","View")</f>
        <v>View</v>
      </c>
      <c r="V94" s="11"/>
      <c r="W94" s="11"/>
      <c r="X94" s="11"/>
      <c r="Y94" s="11"/>
      <c r="Z94" s="11"/>
    </row>
    <row r="95">
      <c r="A95" s="8">
        <v>44221.46233796296</v>
      </c>
      <c r="B95" s="9" t="str">
        <f>HYPERLINK("https://twitter.com/pvta_poesia","@pvta_poesia")</f>
        <v>@pvta_poesia</v>
      </c>
      <c r="C95" s="10" t="s">
        <v>797</v>
      </c>
      <c r="D95" s="10" t="s">
        <v>798</v>
      </c>
      <c r="E95" s="9" t="str">
        <f>HYPERLINK("https://twitter.com/pvta_poesia/status/1353781122195447809","1353781122195447809")</f>
        <v>1353781122195447809</v>
      </c>
      <c r="F95" s="11"/>
      <c r="G95" s="11"/>
      <c r="H95" s="11"/>
      <c r="I95" s="13">
        <v>0.0</v>
      </c>
      <c r="J95" s="13">
        <v>0.0</v>
      </c>
      <c r="K95" s="9" t="str">
        <f>HYPERLINK("https://mobile.twitter.com","Twitter Web App")</f>
        <v>Twitter Web App</v>
      </c>
      <c r="L95" s="14">
        <v>48.0</v>
      </c>
      <c r="M95" s="14">
        <v>37.0</v>
      </c>
      <c r="N95" s="14">
        <v>1.0</v>
      </c>
      <c r="O95" s="15"/>
      <c r="P95" s="16">
        <v>43954.12560185185</v>
      </c>
      <c r="Q95" s="10" t="s">
        <v>799</v>
      </c>
      <c r="R95" s="10" t="s">
        <v>800</v>
      </c>
      <c r="S95" s="11"/>
      <c r="T95" s="11"/>
      <c r="U95" s="17" t="str">
        <f>HYPERLINK("https://pbs.twimg.com/profile_images/1314695903945596929/BHcCAr3d.jpg","View")</f>
        <v>View</v>
      </c>
      <c r="V95" s="11"/>
      <c r="W95" s="11"/>
      <c r="X95" s="11"/>
      <c r="Y95" s="11"/>
      <c r="Z95" s="11"/>
    </row>
    <row r="96">
      <c r="A96" s="8">
        <v>44221.45730324074</v>
      </c>
      <c r="B96" s="9" t="str">
        <f>HYPERLINK("https://twitter.com/R3dW4rri0r","@R3dW4rri0r")</f>
        <v>@R3dW4rri0r</v>
      </c>
      <c r="C96" s="10" t="s">
        <v>801</v>
      </c>
      <c r="D96" s="10" t="s">
        <v>802</v>
      </c>
      <c r="E96" s="9" t="str">
        <f>HYPERLINK("https://twitter.com/R3dW4rri0r/status/1353779297081765890","1353779297081765890")</f>
        <v>1353779297081765890</v>
      </c>
      <c r="F96" s="12" t="s">
        <v>803</v>
      </c>
      <c r="G96" s="11"/>
      <c r="H96" s="11"/>
      <c r="I96" s="13">
        <v>0.0</v>
      </c>
      <c r="J96" s="13">
        <v>1.0</v>
      </c>
      <c r="K96" s="9" t="str">
        <f>HYPERLINK("http://twitter.com/download/iphone","Twitter for iPhone")</f>
        <v>Twitter for iPhone</v>
      </c>
      <c r="L96" s="14">
        <v>3393.0</v>
      </c>
      <c r="M96" s="14">
        <v>1802.0</v>
      </c>
      <c r="N96" s="14">
        <v>28.0</v>
      </c>
      <c r="O96" s="15"/>
      <c r="P96" s="16">
        <v>40691.15721064815</v>
      </c>
      <c r="Q96" s="10" t="s">
        <v>515</v>
      </c>
      <c r="R96" s="10" t="s">
        <v>804</v>
      </c>
      <c r="S96" s="12" t="s">
        <v>805</v>
      </c>
      <c r="T96" s="11"/>
      <c r="U96" s="17" t="str">
        <f>HYPERLINK("https://pbs.twimg.com/profile_images/1269449394400747520/4RojbhME.jpg","View")</f>
        <v>View</v>
      </c>
      <c r="V96" s="11"/>
      <c r="W96" s="11"/>
      <c r="X96" s="11"/>
      <c r="Y96" s="11"/>
      <c r="Z96" s="11"/>
    </row>
    <row r="97">
      <c r="A97" s="8">
        <v>44221.45724537037</v>
      </c>
      <c r="B97" s="9" t="str">
        <f>HYPERLINK("https://twitter.com/wxrrior_kd","@wxrrior_kd")</f>
        <v>@wxrrior_kd</v>
      </c>
      <c r="C97" s="10" t="s">
        <v>806</v>
      </c>
      <c r="D97" s="10" t="s">
        <v>807</v>
      </c>
      <c r="E97" s="9" t="str">
        <f>HYPERLINK("https://twitter.com/wxrrior_kd/status/1353779277364342784","1353779277364342784")</f>
        <v>1353779277364342784</v>
      </c>
      <c r="F97" s="12" t="s">
        <v>808</v>
      </c>
      <c r="G97" s="12" t="s">
        <v>809</v>
      </c>
      <c r="H97" s="11"/>
      <c r="I97" s="13">
        <v>0.0</v>
      </c>
      <c r="J97" s="13">
        <v>1.0</v>
      </c>
      <c r="K97" s="9" t="str">
        <f t="shared" ref="K97:K98" si="22">HYPERLINK("http://twitter.com/download/android","Twitter for Android")</f>
        <v>Twitter for Android</v>
      </c>
      <c r="L97" s="14">
        <v>121.0</v>
      </c>
      <c r="M97" s="14">
        <v>101.0</v>
      </c>
      <c r="N97" s="14">
        <v>0.0</v>
      </c>
      <c r="O97" s="15"/>
      <c r="P97" s="16">
        <v>43955.5288425926</v>
      </c>
      <c r="Q97" s="10" t="s">
        <v>810</v>
      </c>
      <c r="R97" s="10" t="s">
        <v>811</v>
      </c>
      <c r="S97" s="12" t="s">
        <v>812</v>
      </c>
      <c r="T97" s="11"/>
      <c r="U97" s="17" t="str">
        <f>HYPERLINK("https://pbs.twimg.com/profile_images/1257395152944918528/hwUcvoEO.jpg","View")</f>
        <v>View</v>
      </c>
      <c r="V97" s="11"/>
      <c r="W97" s="11"/>
      <c r="X97" s="11"/>
      <c r="Y97" s="11"/>
      <c r="Z97" s="11"/>
    </row>
    <row r="98">
      <c r="A98" s="8">
        <v>44221.45564814815</v>
      </c>
      <c r="B98" s="9" t="str">
        <f>HYPERLINK("https://twitter.com/carlesgusau","@carlesgusau")</f>
        <v>@carlesgusau</v>
      </c>
      <c r="C98" s="10" t="s">
        <v>813</v>
      </c>
      <c r="D98" s="10" t="s">
        <v>814</v>
      </c>
      <c r="E98" s="9" t="str">
        <f>HYPERLINK("https://twitter.com/carlesgusau/status/1353778697887768578","1353778697887768578")</f>
        <v>1353778697887768578</v>
      </c>
      <c r="F98" s="12" t="s">
        <v>815</v>
      </c>
      <c r="G98" s="10" t="s">
        <v>816</v>
      </c>
      <c r="H98" s="11"/>
      <c r="I98" s="13">
        <v>4.0</v>
      </c>
      <c r="J98" s="13">
        <v>26.0</v>
      </c>
      <c r="K98" s="9" t="str">
        <f t="shared" si="22"/>
        <v>Twitter for Android</v>
      </c>
      <c r="L98" s="14">
        <v>7274.0</v>
      </c>
      <c r="M98" s="14">
        <v>2358.0</v>
      </c>
      <c r="N98" s="14">
        <v>10.0</v>
      </c>
      <c r="O98" s="15"/>
      <c r="P98" s="16">
        <v>43846.53060185185</v>
      </c>
      <c r="Q98" s="10" t="s">
        <v>490</v>
      </c>
      <c r="R98" s="10" t="s">
        <v>817</v>
      </c>
      <c r="S98" s="12" t="s">
        <v>818</v>
      </c>
      <c r="T98" s="11"/>
      <c r="U98" s="17" t="str">
        <f>HYPERLINK("https://pbs.twimg.com/profile_images/1277668833503981568/D68jyuMt.jpg","View")</f>
        <v>View</v>
      </c>
      <c r="V98" s="11"/>
      <c r="W98" s="11"/>
      <c r="X98" s="11"/>
      <c r="Y98" s="11"/>
      <c r="Z98" s="11"/>
    </row>
    <row r="99">
      <c r="A99" s="8">
        <v>44221.44123842593</v>
      </c>
      <c r="B99" s="9" t="str">
        <f>HYPERLINK("https://twitter.com/_Agente_Smith","@_Agente_Smith")</f>
        <v>@_Agente_Smith</v>
      </c>
      <c r="C99" s="10" t="s">
        <v>692</v>
      </c>
      <c r="D99" s="10" t="s">
        <v>819</v>
      </c>
      <c r="E99" s="9" t="str">
        <f>HYPERLINK("https://twitter.com/_Agente_Smith/status/1353773475111047169","1353773475111047169")</f>
        <v>1353773475111047169</v>
      </c>
      <c r="F99" s="11"/>
      <c r="G99" s="11"/>
      <c r="H99" s="11"/>
      <c r="I99" s="13">
        <v>0.0</v>
      </c>
      <c r="J99" s="13">
        <v>2.0</v>
      </c>
      <c r="K99" s="9" t="str">
        <f t="shared" ref="K99:K100" si="23">HYPERLINK("https://mobile.twitter.com","Twitter Web App")</f>
        <v>Twitter Web App</v>
      </c>
      <c r="L99" s="14">
        <v>1285.0</v>
      </c>
      <c r="M99" s="14">
        <v>751.0</v>
      </c>
      <c r="N99" s="14">
        <v>0.0</v>
      </c>
      <c r="O99" s="15"/>
      <c r="P99" s="16">
        <v>43511.67221064815</v>
      </c>
      <c r="Q99" s="11"/>
      <c r="R99" s="10" t="s">
        <v>694</v>
      </c>
      <c r="S99" s="11"/>
      <c r="T99" s="11"/>
      <c r="U99" s="17" t="str">
        <f>HYPERLINK("https://pbs.twimg.com/profile_images/1346957250762596352/iXvnhAt_.jpg","View")</f>
        <v>View</v>
      </c>
      <c r="V99" s="11"/>
      <c r="W99" s="11"/>
      <c r="X99" s="11"/>
      <c r="Y99" s="11"/>
      <c r="Z99" s="11"/>
    </row>
    <row r="100">
      <c r="A100" s="8">
        <v>44221.42909722222</v>
      </c>
      <c r="B100" s="9" t="str">
        <f>HYPERLINK("https://twitter.com/pvta_poesia","@pvta_poesia")</f>
        <v>@pvta_poesia</v>
      </c>
      <c r="C100" s="10" t="s">
        <v>797</v>
      </c>
      <c r="D100" s="10" t="s">
        <v>820</v>
      </c>
      <c r="E100" s="9" t="str">
        <f>HYPERLINK("https://twitter.com/pvta_poesia/status/1353769078029213696","1353769078029213696")</f>
        <v>1353769078029213696</v>
      </c>
      <c r="F100" s="12" t="s">
        <v>821</v>
      </c>
      <c r="G100" s="11"/>
      <c r="H100" s="11"/>
      <c r="I100" s="13">
        <v>0.0</v>
      </c>
      <c r="J100" s="13">
        <v>1.0</v>
      </c>
      <c r="K100" s="9" t="str">
        <f t="shared" si="23"/>
        <v>Twitter Web App</v>
      </c>
      <c r="L100" s="14">
        <v>48.0</v>
      </c>
      <c r="M100" s="14">
        <v>37.0</v>
      </c>
      <c r="N100" s="14">
        <v>1.0</v>
      </c>
      <c r="O100" s="15"/>
      <c r="P100" s="16">
        <v>43954.12560185185</v>
      </c>
      <c r="Q100" s="10" t="s">
        <v>799</v>
      </c>
      <c r="R100" s="10" t="s">
        <v>800</v>
      </c>
      <c r="S100" s="11"/>
      <c r="T100" s="11"/>
      <c r="U100" s="17" t="str">
        <f>HYPERLINK("https://pbs.twimg.com/profile_images/1314695903945596929/BHcCAr3d.jpg","View")</f>
        <v>View</v>
      </c>
      <c r="V100" s="11"/>
      <c r="W100" s="11"/>
      <c r="X100" s="11"/>
      <c r="Y100" s="11"/>
      <c r="Z100" s="11"/>
    </row>
    <row r="101">
      <c r="A101" s="8">
        <v>44221.41320601852</v>
      </c>
      <c r="B101" s="9" t="str">
        <f>HYPERLINK("https://twitter.com/lgxlid3107","@lgxlid3107")</f>
        <v>@lgxlid3107</v>
      </c>
      <c r="C101" s="10" t="s">
        <v>822</v>
      </c>
      <c r="D101" s="10" t="s">
        <v>823</v>
      </c>
      <c r="E101" s="9" t="str">
        <f>HYPERLINK("https://twitter.com/lgxlid3107/status/1353763317207150592","1353763317207150592")</f>
        <v>1353763317207150592</v>
      </c>
      <c r="F101" s="11"/>
      <c r="G101" s="11"/>
      <c r="H101" s="11"/>
      <c r="I101" s="13">
        <v>0.0</v>
      </c>
      <c r="J101" s="13">
        <v>2.0</v>
      </c>
      <c r="K101" s="9" t="str">
        <f t="shared" ref="K101:K102" si="24">HYPERLINK("http://twitter.com/download/android","Twitter for Android")</f>
        <v>Twitter for Android</v>
      </c>
      <c r="L101" s="14">
        <v>385.0</v>
      </c>
      <c r="M101" s="14">
        <v>4928.0</v>
      </c>
      <c r="N101" s="14">
        <v>2.0</v>
      </c>
      <c r="O101" s="15"/>
      <c r="P101" s="16">
        <v>43649.688206018516</v>
      </c>
      <c r="Q101" s="10" t="s">
        <v>824</v>
      </c>
      <c r="R101" s="10" t="s">
        <v>825</v>
      </c>
      <c r="S101" s="11"/>
      <c r="T101" s="11"/>
      <c r="U101" s="17" t="str">
        <f>HYPERLINK("https://pbs.twimg.com/profile_images/1352018579827417088/pbrJJh3Q.jpg","View")</f>
        <v>View</v>
      </c>
      <c r="V101" s="11"/>
      <c r="W101" s="11"/>
      <c r="X101" s="11"/>
      <c r="Y101" s="11"/>
      <c r="Z101" s="11"/>
    </row>
    <row r="102">
      <c r="A102" s="8">
        <v>44221.4121875</v>
      </c>
      <c r="B102" s="9" t="str">
        <f>HYPERLINK("https://twitter.com/RedbirdsTBO","@RedbirdsTBO")</f>
        <v>@RedbirdsTBO</v>
      </c>
      <c r="C102" s="10" t="s">
        <v>826</v>
      </c>
      <c r="D102" s="10" t="s">
        <v>827</v>
      </c>
      <c r="E102" s="9" t="str">
        <f>HYPERLINK("https://twitter.com/RedbirdsTBO/status/1353762948204929030","1353762948204929030")</f>
        <v>1353762948204929030</v>
      </c>
      <c r="F102" s="11"/>
      <c r="G102" s="11"/>
      <c r="H102" s="11"/>
      <c r="I102" s="13">
        <v>7.0</v>
      </c>
      <c r="J102" s="13">
        <v>32.0</v>
      </c>
      <c r="K102" s="9" t="str">
        <f t="shared" si="24"/>
        <v>Twitter for Android</v>
      </c>
      <c r="L102" s="14">
        <v>2588.0</v>
      </c>
      <c r="M102" s="14">
        <v>2725.0</v>
      </c>
      <c r="N102" s="14">
        <v>1.0</v>
      </c>
      <c r="O102" s="15"/>
      <c r="P102" s="16">
        <v>43961.36376157407</v>
      </c>
      <c r="Q102" s="11"/>
      <c r="R102" s="10" t="s">
        <v>828</v>
      </c>
      <c r="S102" s="11"/>
      <c r="T102" s="11"/>
      <c r="U102" s="17" t="str">
        <f>HYPERLINK("https://pbs.twimg.com/profile_images/1350548847244812289/2KayWhTM.jpg","View")</f>
        <v>View</v>
      </c>
      <c r="V102" s="11"/>
      <c r="W102" s="11"/>
      <c r="X102" s="11"/>
      <c r="Y102" s="11"/>
      <c r="Z102" s="11"/>
    </row>
    <row r="103">
      <c r="A103" s="18"/>
      <c r="B103" s="11"/>
      <c r="C103" s="11"/>
      <c r="D103" s="11"/>
      <c r="E103" s="11"/>
      <c r="F103" s="11"/>
      <c r="G103" s="11"/>
      <c r="H103" s="11"/>
      <c r="I103" s="11"/>
      <c r="J103" s="11"/>
      <c r="K103" s="11"/>
      <c r="L103" s="15"/>
      <c r="M103" s="15"/>
      <c r="N103" s="15"/>
      <c r="O103" s="15"/>
      <c r="P103" s="15"/>
      <c r="Q103" s="11"/>
      <c r="R103" s="11"/>
      <c r="S103" s="11"/>
      <c r="T103" s="11"/>
      <c r="U103" s="15"/>
      <c r="V103" s="11"/>
      <c r="W103" s="11"/>
      <c r="X103" s="11"/>
      <c r="Y103" s="11"/>
      <c r="Z103" s="11"/>
    </row>
    <row r="104">
      <c r="A104" s="18"/>
      <c r="B104" s="11"/>
      <c r="C104" s="11"/>
      <c r="D104" s="11"/>
      <c r="E104" s="11"/>
      <c r="F104" s="11"/>
      <c r="G104" s="11"/>
      <c r="H104" s="11"/>
      <c r="I104" s="11"/>
      <c r="J104" s="11"/>
      <c r="K104" s="11"/>
      <c r="L104" s="15"/>
      <c r="M104" s="15"/>
      <c r="N104" s="15"/>
      <c r="O104" s="15"/>
      <c r="P104" s="15"/>
      <c r="Q104" s="11"/>
      <c r="R104" s="11"/>
      <c r="S104" s="11"/>
      <c r="T104" s="11"/>
      <c r="U104" s="15"/>
      <c r="V104" s="11"/>
      <c r="W104" s="11"/>
      <c r="X104" s="11"/>
      <c r="Y104" s="11"/>
      <c r="Z104" s="11"/>
    </row>
    <row r="105">
      <c r="A105" s="18"/>
      <c r="B105" s="11"/>
      <c r="C105" s="11"/>
      <c r="D105" s="11"/>
      <c r="E105" s="11"/>
      <c r="F105" s="11"/>
      <c r="G105" s="11"/>
      <c r="H105" s="11"/>
      <c r="I105" s="11"/>
      <c r="J105" s="11"/>
      <c r="K105" s="11"/>
      <c r="L105" s="15"/>
      <c r="M105" s="15"/>
      <c r="N105" s="15"/>
      <c r="O105" s="15"/>
      <c r="P105" s="15"/>
      <c r="Q105" s="11"/>
      <c r="R105" s="11"/>
      <c r="S105" s="11"/>
      <c r="T105" s="11"/>
      <c r="U105" s="15"/>
      <c r="V105" s="11"/>
      <c r="W105" s="11"/>
      <c r="X105" s="11"/>
      <c r="Y105" s="11"/>
      <c r="Z105" s="11"/>
    </row>
    <row r="106">
      <c r="A106" s="18"/>
      <c r="B106" s="11"/>
      <c r="C106" s="11"/>
      <c r="D106" s="11"/>
      <c r="E106" s="11"/>
      <c r="F106" s="11"/>
      <c r="G106" s="11"/>
      <c r="H106" s="11"/>
      <c r="I106" s="11"/>
      <c r="J106" s="11"/>
      <c r="K106" s="11"/>
      <c r="L106" s="15"/>
      <c r="M106" s="15"/>
      <c r="N106" s="15"/>
      <c r="O106" s="15"/>
      <c r="P106" s="15"/>
      <c r="Q106" s="11"/>
      <c r="R106" s="11"/>
      <c r="S106" s="11"/>
      <c r="T106" s="11"/>
      <c r="U106" s="15"/>
      <c r="V106" s="11"/>
      <c r="W106" s="11"/>
      <c r="X106" s="11"/>
      <c r="Y106" s="11"/>
      <c r="Z106" s="11"/>
    </row>
    <row r="107">
      <c r="A107" s="18"/>
      <c r="B107" s="11"/>
      <c r="C107" s="11"/>
      <c r="D107" s="11"/>
      <c r="E107" s="11"/>
      <c r="F107" s="11"/>
      <c r="G107" s="11"/>
      <c r="H107" s="11"/>
      <c r="I107" s="11"/>
      <c r="J107" s="11"/>
      <c r="K107" s="11"/>
      <c r="L107" s="15"/>
      <c r="M107" s="15"/>
      <c r="N107" s="15"/>
      <c r="O107" s="15"/>
      <c r="P107" s="15"/>
      <c r="Q107" s="11"/>
      <c r="R107" s="11"/>
      <c r="S107" s="11"/>
      <c r="T107" s="11"/>
      <c r="U107" s="15"/>
      <c r="V107" s="11"/>
      <c r="W107" s="11"/>
      <c r="X107" s="11"/>
      <c r="Y107" s="11"/>
      <c r="Z107" s="11"/>
    </row>
    <row r="108">
      <c r="A108" s="18"/>
      <c r="B108" s="11"/>
      <c r="C108" s="11"/>
      <c r="D108" s="11"/>
      <c r="E108" s="11"/>
      <c r="F108" s="11"/>
      <c r="G108" s="11"/>
      <c r="H108" s="11"/>
      <c r="I108" s="11"/>
      <c r="J108" s="11"/>
      <c r="K108" s="11"/>
      <c r="L108" s="15"/>
      <c r="M108" s="15"/>
      <c r="N108" s="15"/>
      <c r="O108" s="15"/>
      <c r="P108" s="15"/>
      <c r="Q108" s="11"/>
      <c r="R108" s="11"/>
      <c r="S108" s="11"/>
      <c r="T108" s="11"/>
      <c r="U108" s="15"/>
      <c r="V108" s="11"/>
      <c r="W108" s="11"/>
      <c r="X108" s="11"/>
      <c r="Y108" s="11"/>
      <c r="Z108" s="11"/>
    </row>
    <row r="109">
      <c r="A109" s="18"/>
      <c r="B109" s="11"/>
      <c r="C109" s="11"/>
      <c r="D109" s="11"/>
      <c r="E109" s="11"/>
      <c r="F109" s="11"/>
      <c r="G109" s="11"/>
      <c r="H109" s="11"/>
      <c r="I109" s="11"/>
      <c r="J109" s="11"/>
      <c r="K109" s="11"/>
      <c r="L109" s="15"/>
      <c r="M109" s="15"/>
      <c r="N109" s="15"/>
      <c r="O109" s="15"/>
      <c r="P109" s="15"/>
      <c r="Q109" s="11"/>
      <c r="R109" s="11"/>
      <c r="S109" s="11"/>
      <c r="T109" s="11"/>
      <c r="U109" s="15"/>
      <c r="V109" s="11"/>
      <c r="W109" s="11"/>
      <c r="X109" s="11"/>
      <c r="Y109" s="11"/>
      <c r="Z109" s="11"/>
    </row>
    <row r="110">
      <c r="A110" s="18"/>
      <c r="B110" s="11"/>
      <c r="C110" s="11"/>
      <c r="D110" s="11"/>
      <c r="E110" s="11"/>
      <c r="F110" s="11"/>
      <c r="G110" s="11"/>
      <c r="H110" s="11"/>
      <c r="I110" s="11"/>
      <c r="J110" s="11"/>
      <c r="K110" s="11"/>
      <c r="L110" s="15"/>
      <c r="M110" s="15"/>
      <c r="N110" s="15"/>
      <c r="O110" s="15"/>
      <c r="P110" s="15"/>
      <c r="Q110" s="11"/>
      <c r="R110" s="11"/>
      <c r="S110" s="11"/>
      <c r="T110" s="11"/>
      <c r="U110" s="15"/>
      <c r="V110" s="11"/>
      <c r="W110" s="11"/>
      <c r="X110" s="11"/>
      <c r="Y110" s="11"/>
      <c r="Z110" s="11"/>
    </row>
    <row r="111">
      <c r="A111" s="18"/>
      <c r="B111" s="11"/>
      <c r="C111" s="11"/>
      <c r="D111" s="11"/>
      <c r="E111" s="11"/>
      <c r="F111" s="11"/>
      <c r="G111" s="11"/>
      <c r="H111" s="11"/>
      <c r="I111" s="11"/>
      <c r="J111" s="11"/>
      <c r="K111" s="11"/>
      <c r="L111" s="15"/>
      <c r="M111" s="15"/>
      <c r="N111" s="15"/>
      <c r="O111" s="15"/>
      <c r="P111" s="15"/>
      <c r="Q111" s="11"/>
      <c r="R111" s="11"/>
      <c r="S111" s="11"/>
      <c r="T111" s="11"/>
      <c r="U111" s="15"/>
      <c r="V111" s="11"/>
      <c r="W111" s="11"/>
      <c r="X111" s="11"/>
      <c r="Y111" s="11"/>
      <c r="Z111" s="11"/>
    </row>
    <row r="112">
      <c r="A112" s="18"/>
      <c r="B112" s="11"/>
      <c r="C112" s="11"/>
      <c r="D112" s="11"/>
      <c r="E112" s="11"/>
      <c r="F112" s="11"/>
      <c r="G112" s="11"/>
      <c r="H112" s="11"/>
      <c r="I112" s="11"/>
      <c r="J112" s="11"/>
      <c r="K112" s="11"/>
      <c r="L112" s="15"/>
      <c r="M112" s="15"/>
      <c r="N112" s="15"/>
      <c r="O112" s="15"/>
      <c r="P112" s="15"/>
      <c r="Q112" s="11"/>
      <c r="R112" s="11"/>
      <c r="S112" s="11"/>
      <c r="T112" s="11"/>
      <c r="U112" s="15"/>
      <c r="V112" s="11"/>
      <c r="W112" s="11"/>
      <c r="X112" s="11"/>
      <c r="Y112" s="11"/>
      <c r="Z112" s="11"/>
    </row>
    <row r="113">
      <c r="A113" s="18"/>
      <c r="B113" s="11"/>
      <c r="C113" s="11"/>
      <c r="D113" s="11"/>
      <c r="E113" s="11"/>
      <c r="F113" s="11"/>
      <c r="G113" s="11"/>
      <c r="H113" s="11"/>
      <c r="I113" s="11"/>
      <c r="J113" s="11"/>
      <c r="K113" s="11"/>
      <c r="L113" s="15"/>
      <c r="M113" s="15"/>
      <c r="N113" s="15"/>
      <c r="O113" s="15"/>
      <c r="P113" s="15"/>
      <c r="Q113" s="11"/>
      <c r="R113" s="11"/>
      <c r="S113" s="11"/>
      <c r="T113" s="11"/>
      <c r="U113" s="15"/>
      <c r="V113" s="11"/>
      <c r="W113" s="11"/>
      <c r="X113" s="11"/>
      <c r="Y113" s="11"/>
      <c r="Z113" s="11"/>
    </row>
    <row r="114">
      <c r="A114" s="18"/>
      <c r="B114" s="11"/>
      <c r="C114" s="11"/>
      <c r="D114" s="11"/>
      <c r="E114" s="11"/>
      <c r="F114" s="11"/>
      <c r="G114" s="11"/>
      <c r="H114" s="11"/>
      <c r="I114" s="11"/>
      <c r="J114" s="11"/>
      <c r="K114" s="11"/>
      <c r="L114" s="15"/>
      <c r="M114" s="15"/>
      <c r="N114" s="15"/>
      <c r="O114" s="15"/>
      <c r="P114" s="15"/>
      <c r="Q114" s="11"/>
      <c r="R114" s="11"/>
      <c r="S114" s="11"/>
      <c r="T114" s="11"/>
      <c r="U114" s="15"/>
      <c r="V114" s="11"/>
      <c r="W114" s="11"/>
      <c r="X114" s="11"/>
      <c r="Y114" s="11"/>
      <c r="Z114" s="11"/>
    </row>
    <row r="115">
      <c r="A115" s="18"/>
      <c r="B115" s="11"/>
      <c r="C115" s="11"/>
      <c r="D115" s="11"/>
      <c r="E115" s="11"/>
      <c r="F115" s="11"/>
      <c r="G115" s="11"/>
      <c r="H115" s="11"/>
      <c r="I115" s="11"/>
      <c r="J115" s="11"/>
      <c r="K115" s="11"/>
      <c r="L115" s="15"/>
      <c r="M115" s="15"/>
      <c r="N115" s="15"/>
      <c r="O115" s="15"/>
      <c r="P115" s="15"/>
      <c r="Q115" s="11"/>
      <c r="R115" s="11"/>
      <c r="S115" s="11"/>
      <c r="T115" s="11"/>
      <c r="U115" s="15"/>
      <c r="V115" s="11"/>
      <c r="W115" s="11"/>
      <c r="X115" s="11"/>
      <c r="Y115" s="11"/>
      <c r="Z115" s="11"/>
    </row>
    <row r="116">
      <c r="A116" s="18"/>
      <c r="B116" s="11"/>
      <c r="C116" s="11"/>
      <c r="D116" s="11"/>
      <c r="E116" s="11"/>
      <c r="F116" s="11"/>
      <c r="G116" s="11"/>
      <c r="H116" s="11"/>
      <c r="I116" s="11"/>
      <c r="J116" s="11"/>
      <c r="K116" s="11"/>
      <c r="L116" s="15"/>
      <c r="M116" s="15"/>
      <c r="N116" s="15"/>
      <c r="O116" s="15"/>
      <c r="P116" s="15"/>
      <c r="Q116" s="11"/>
      <c r="R116" s="11"/>
      <c r="S116" s="11"/>
      <c r="T116" s="11"/>
      <c r="U116" s="15"/>
      <c r="V116" s="11"/>
      <c r="W116" s="11"/>
      <c r="X116" s="11"/>
      <c r="Y116" s="11"/>
      <c r="Z116" s="11"/>
    </row>
    <row r="117">
      <c r="A117" s="18"/>
      <c r="B117" s="11"/>
      <c r="C117" s="11"/>
      <c r="D117" s="11"/>
      <c r="E117" s="11"/>
      <c r="F117" s="11"/>
      <c r="G117" s="11"/>
      <c r="H117" s="11"/>
      <c r="I117" s="11"/>
      <c r="J117" s="11"/>
      <c r="K117" s="11"/>
      <c r="L117" s="15"/>
      <c r="M117" s="15"/>
      <c r="N117" s="15"/>
      <c r="O117" s="15"/>
      <c r="P117" s="15"/>
      <c r="Q117" s="11"/>
      <c r="R117" s="11"/>
      <c r="S117" s="11"/>
      <c r="T117" s="11"/>
      <c r="U117" s="15"/>
      <c r="V117" s="11"/>
      <c r="W117" s="11"/>
      <c r="X117" s="11"/>
      <c r="Y117" s="11"/>
      <c r="Z117" s="11"/>
    </row>
    <row r="118">
      <c r="A118" s="18"/>
      <c r="B118" s="11"/>
      <c r="C118" s="11"/>
      <c r="D118" s="11"/>
      <c r="E118" s="11"/>
      <c r="F118" s="11"/>
      <c r="G118" s="11"/>
      <c r="H118" s="11"/>
      <c r="I118" s="11"/>
      <c r="J118" s="11"/>
      <c r="K118" s="11"/>
      <c r="L118" s="15"/>
      <c r="M118" s="15"/>
      <c r="N118" s="15"/>
      <c r="O118" s="15"/>
      <c r="P118" s="15"/>
      <c r="Q118" s="11"/>
      <c r="R118" s="11"/>
      <c r="S118" s="11"/>
      <c r="T118" s="11"/>
      <c r="U118" s="15"/>
      <c r="V118" s="11"/>
      <c r="W118" s="11"/>
      <c r="X118" s="11"/>
      <c r="Y118" s="11"/>
      <c r="Z118" s="11"/>
    </row>
    <row r="119">
      <c r="A119" s="18"/>
      <c r="B119" s="11"/>
      <c r="C119" s="11"/>
      <c r="D119" s="11"/>
      <c r="E119" s="11"/>
      <c r="F119" s="11"/>
      <c r="G119" s="11"/>
      <c r="H119" s="11"/>
      <c r="I119" s="11"/>
      <c r="J119" s="11"/>
      <c r="K119" s="11"/>
      <c r="L119" s="15"/>
      <c r="M119" s="15"/>
      <c r="N119" s="15"/>
      <c r="O119" s="15"/>
      <c r="P119" s="15"/>
      <c r="Q119" s="11"/>
      <c r="R119" s="11"/>
      <c r="S119" s="11"/>
      <c r="T119" s="11"/>
      <c r="U119" s="15"/>
      <c r="V119" s="11"/>
      <c r="W119" s="11"/>
      <c r="X119" s="11"/>
      <c r="Y119" s="11"/>
      <c r="Z119" s="11"/>
    </row>
    <row r="120">
      <c r="A120" s="18"/>
      <c r="B120" s="11"/>
      <c r="C120" s="11"/>
      <c r="D120" s="11"/>
      <c r="E120" s="11"/>
      <c r="F120" s="11"/>
      <c r="G120" s="11"/>
      <c r="H120" s="11"/>
      <c r="I120" s="11"/>
      <c r="J120" s="11"/>
      <c r="K120" s="11"/>
      <c r="L120" s="15"/>
      <c r="M120" s="15"/>
      <c r="N120" s="15"/>
      <c r="O120" s="15"/>
      <c r="P120" s="15"/>
      <c r="Q120" s="11"/>
      <c r="R120" s="11"/>
      <c r="S120" s="11"/>
      <c r="T120" s="11"/>
      <c r="U120" s="15"/>
      <c r="V120" s="11"/>
      <c r="W120" s="11"/>
      <c r="X120" s="11"/>
      <c r="Y120" s="11"/>
      <c r="Z120" s="11"/>
    </row>
    <row r="121">
      <c r="A121" s="18"/>
      <c r="B121" s="11"/>
      <c r="C121" s="11"/>
      <c r="D121" s="11"/>
      <c r="E121" s="11"/>
      <c r="F121" s="11"/>
      <c r="G121" s="11"/>
      <c r="H121" s="11"/>
      <c r="I121" s="11"/>
      <c r="J121" s="11"/>
      <c r="K121" s="11"/>
      <c r="L121" s="15"/>
      <c r="M121" s="15"/>
      <c r="N121" s="15"/>
      <c r="O121" s="15"/>
      <c r="P121" s="15"/>
      <c r="Q121" s="11"/>
      <c r="R121" s="11"/>
      <c r="S121" s="11"/>
      <c r="T121" s="11"/>
      <c r="U121" s="15"/>
      <c r="V121" s="11"/>
      <c r="W121" s="11"/>
      <c r="X121" s="11"/>
      <c r="Y121" s="11"/>
      <c r="Z121" s="11"/>
    </row>
    <row r="122">
      <c r="A122" s="18"/>
      <c r="B122" s="11"/>
      <c r="C122" s="11"/>
      <c r="D122" s="11"/>
      <c r="E122" s="11"/>
      <c r="F122" s="11"/>
      <c r="G122" s="11"/>
      <c r="H122" s="11"/>
      <c r="I122" s="11"/>
      <c r="J122" s="11"/>
      <c r="K122" s="11"/>
      <c r="L122" s="15"/>
      <c r="M122" s="15"/>
      <c r="N122" s="15"/>
      <c r="O122" s="15"/>
      <c r="P122" s="15"/>
      <c r="Q122" s="11"/>
      <c r="R122" s="11"/>
      <c r="S122" s="11"/>
      <c r="T122" s="11"/>
      <c r="U122" s="15"/>
      <c r="V122" s="11"/>
      <c r="W122" s="11"/>
      <c r="X122" s="11"/>
      <c r="Y122" s="11"/>
      <c r="Z122" s="11"/>
    </row>
    <row r="123">
      <c r="A123" s="18"/>
      <c r="B123" s="11"/>
      <c r="C123" s="11"/>
      <c r="D123" s="11"/>
      <c r="E123" s="11"/>
      <c r="F123" s="11"/>
      <c r="G123" s="11"/>
      <c r="H123" s="11"/>
      <c r="I123" s="11"/>
      <c r="J123" s="11"/>
      <c r="K123" s="11"/>
      <c r="L123" s="15"/>
      <c r="M123" s="15"/>
      <c r="N123" s="15"/>
      <c r="O123" s="15"/>
      <c r="P123" s="15"/>
      <c r="Q123" s="11"/>
      <c r="R123" s="11"/>
      <c r="S123" s="11"/>
      <c r="T123" s="11"/>
      <c r="U123" s="15"/>
      <c r="V123" s="11"/>
      <c r="W123" s="11"/>
      <c r="X123" s="11"/>
      <c r="Y123" s="11"/>
      <c r="Z123" s="11"/>
    </row>
    <row r="124">
      <c r="A124" s="18"/>
      <c r="B124" s="11"/>
      <c r="C124" s="11"/>
      <c r="D124" s="11"/>
      <c r="E124" s="11"/>
      <c r="F124" s="11"/>
      <c r="G124" s="11"/>
      <c r="H124" s="11"/>
      <c r="I124" s="11"/>
      <c r="J124" s="11"/>
      <c r="K124" s="11"/>
      <c r="L124" s="15"/>
      <c r="M124" s="15"/>
      <c r="N124" s="15"/>
      <c r="O124" s="15"/>
      <c r="P124" s="15"/>
      <c r="Q124" s="11"/>
      <c r="R124" s="11"/>
      <c r="S124" s="11"/>
      <c r="T124" s="11"/>
      <c r="U124" s="15"/>
      <c r="V124" s="11"/>
      <c r="W124" s="11"/>
      <c r="X124" s="11"/>
      <c r="Y124" s="11"/>
      <c r="Z124" s="11"/>
    </row>
    <row r="125">
      <c r="A125" s="18"/>
      <c r="B125" s="11"/>
      <c r="C125" s="11"/>
      <c r="D125" s="11"/>
      <c r="E125" s="11"/>
      <c r="F125" s="11"/>
      <c r="G125" s="11"/>
      <c r="H125" s="11"/>
      <c r="I125" s="11"/>
      <c r="J125" s="11"/>
      <c r="K125" s="11"/>
      <c r="L125" s="15"/>
      <c r="M125" s="15"/>
      <c r="N125" s="15"/>
      <c r="O125" s="15"/>
      <c r="P125" s="15"/>
      <c r="Q125" s="11"/>
      <c r="R125" s="11"/>
      <c r="S125" s="11"/>
      <c r="T125" s="11"/>
      <c r="U125" s="15"/>
      <c r="V125" s="11"/>
      <c r="W125" s="11"/>
      <c r="X125" s="11"/>
      <c r="Y125" s="11"/>
      <c r="Z125" s="11"/>
    </row>
    <row r="126">
      <c r="A126" s="18"/>
      <c r="B126" s="11"/>
      <c r="C126" s="11"/>
      <c r="D126" s="11"/>
      <c r="E126" s="11"/>
      <c r="F126" s="11"/>
      <c r="G126" s="11"/>
      <c r="H126" s="11"/>
      <c r="I126" s="11"/>
      <c r="J126" s="11"/>
      <c r="K126" s="11"/>
      <c r="L126" s="15"/>
      <c r="M126" s="15"/>
      <c r="N126" s="15"/>
      <c r="O126" s="15"/>
      <c r="P126" s="15"/>
      <c r="Q126" s="11"/>
      <c r="R126" s="11"/>
      <c r="S126" s="11"/>
      <c r="T126" s="11"/>
      <c r="U126" s="15"/>
      <c r="V126" s="11"/>
      <c r="W126" s="11"/>
      <c r="X126" s="11"/>
      <c r="Y126" s="11"/>
      <c r="Z126" s="11"/>
    </row>
    <row r="127">
      <c r="A127" s="18"/>
      <c r="B127" s="11"/>
      <c r="C127" s="11"/>
      <c r="D127" s="11"/>
      <c r="E127" s="11"/>
      <c r="F127" s="11"/>
      <c r="G127" s="11"/>
      <c r="H127" s="11"/>
      <c r="I127" s="11"/>
      <c r="J127" s="11"/>
      <c r="K127" s="11"/>
      <c r="L127" s="15"/>
      <c r="M127" s="15"/>
      <c r="N127" s="15"/>
      <c r="O127" s="15"/>
      <c r="P127" s="15"/>
      <c r="Q127" s="11"/>
      <c r="R127" s="11"/>
      <c r="S127" s="11"/>
      <c r="T127" s="11"/>
      <c r="U127" s="15"/>
      <c r="V127" s="11"/>
      <c r="W127" s="11"/>
      <c r="X127" s="11"/>
      <c r="Y127" s="11"/>
      <c r="Z127" s="11"/>
    </row>
    <row r="128">
      <c r="A128" s="18"/>
      <c r="B128" s="11"/>
      <c r="C128" s="11"/>
      <c r="D128" s="11"/>
      <c r="E128" s="11"/>
      <c r="F128" s="11"/>
      <c r="G128" s="11"/>
      <c r="H128" s="11"/>
      <c r="I128" s="11"/>
      <c r="J128" s="11"/>
      <c r="K128" s="11"/>
      <c r="L128" s="15"/>
      <c r="M128" s="15"/>
      <c r="N128" s="15"/>
      <c r="O128" s="15"/>
      <c r="P128" s="15"/>
      <c r="Q128" s="11"/>
      <c r="R128" s="11"/>
      <c r="S128" s="11"/>
      <c r="T128" s="11"/>
      <c r="U128" s="15"/>
      <c r="V128" s="11"/>
      <c r="W128" s="11"/>
      <c r="X128" s="11"/>
      <c r="Y128" s="11"/>
      <c r="Z128" s="11"/>
    </row>
    <row r="129">
      <c r="A129" s="18"/>
      <c r="B129" s="11"/>
      <c r="C129" s="11"/>
      <c r="D129" s="11"/>
      <c r="E129" s="11"/>
      <c r="F129" s="11"/>
      <c r="G129" s="11"/>
      <c r="H129" s="11"/>
      <c r="I129" s="11"/>
      <c r="J129" s="11"/>
      <c r="K129" s="11"/>
      <c r="L129" s="15"/>
      <c r="M129" s="15"/>
      <c r="N129" s="15"/>
      <c r="O129" s="15"/>
      <c r="P129" s="15"/>
      <c r="Q129" s="11"/>
      <c r="R129" s="11"/>
      <c r="S129" s="11"/>
      <c r="T129" s="11"/>
      <c r="U129" s="15"/>
      <c r="V129" s="11"/>
      <c r="W129" s="11"/>
      <c r="X129" s="11"/>
      <c r="Y129" s="11"/>
      <c r="Z129" s="11"/>
    </row>
    <row r="130">
      <c r="A130" s="18"/>
      <c r="B130" s="11"/>
      <c r="C130" s="11"/>
      <c r="D130" s="11"/>
      <c r="E130" s="11"/>
      <c r="F130" s="11"/>
      <c r="G130" s="11"/>
      <c r="H130" s="11"/>
      <c r="I130" s="11"/>
      <c r="J130" s="11"/>
      <c r="K130" s="11"/>
      <c r="L130" s="15"/>
      <c r="M130" s="15"/>
      <c r="N130" s="15"/>
      <c r="O130" s="15"/>
      <c r="P130" s="15"/>
      <c r="Q130" s="11"/>
      <c r="R130" s="11"/>
      <c r="S130" s="11"/>
      <c r="T130" s="11"/>
      <c r="U130" s="15"/>
      <c r="V130" s="11"/>
      <c r="W130" s="11"/>
      <c r="X130" s="11"/>
      <c r="Y130" s="11"/>
      <c r="Z130" s="11"/>
    </row>
    <row r="131">
      <c r="A131" s="18"/>
      <c r="B131" s="11"/>
      <c r="C131" s="11"/>
      <c r="D131" s="11"/>
      <c r="E131" s="11"/>
      <c r="F131" s="11"/>
      <c r="G131" s="11"/>
      <c r="H131" s="11"/>
      <c r="I131" s="11"/>
      <c r="J131" s="11"/>
      <c r="K131" s="11"/>
      <c r="L131" s="15"/>
      <c r="M131" s="15"/>
      <c r="N131" s="15"/>
      <c r="O131" s="15"/>
      <c r="P131" s="15"/>
      <c r="Q131" s="11"/>
      <c r="R131" s="11"/>
      <c r="S131" s="11"/>
      <c r="T131" s="11"/>
      <c r="U131" s="15"/>
      <c r="V131" s="11"/>
      <c r="W131" s="11"/>
      <c r="X131" s="11"/>
      <c r="Y131" s="11"/>
      <c r="Z131" s="11"/>
    </row>
    <row r="132">
      <c r="A132" s="18"/>
      <c r="B132" s="11"/>
      <c r="C132" s="11"/>
      <c r="D132" s="11"/>
      <c r="E132" s="11"/>
      <c r="F132" s="11"/>
      <c r="G132" s="11"/>
      <c r="H132" s="11"/>
      <c r="I132" s="11"/>
      <c r="J132" s="11"/>
      <c r="K132" s="11"/>
      <c r="L132" s="15"/>
      <c r="M132" s="15"/>
      <c r="N132" s="15"/>
      <c r="O132" s="15"/>
      <c r="P132" s="15"/>
      <c r="Q132" s="11"/>
      <c r="R132" s="11"/>
      <c r="S132" s="11"/>
      <c r="T132" s="11"/>
      <c r="U132" s="15"/>
      <c r="V132" s="11"/>
      <c r="W132" s="11"/>
      <c r="X132" s="11"/>
      <c r="Y132" s="11"/>
      <c r="Z132" s="11"/>
    </row>
    <row r="133">
      <c r="A133" s="18"/>
      <c r="B133" s="11"/>
      <c r="C133" s="11"/>
      <c r="D133" s="11"/>
      <c r="E133" s="11"/>
      <c r="F133" s="11"/>
      <c r="G133" s="11"/>
      <c r="H133" s="11"/>
      <c r="I133" s="11"/>
      <c r="J133" s="11"/>
      <c r="K133" s="11"/>
      <c r="L133" s="15"/>
      <c r="M133" s="15"/>
      <c r="N133" s="15"/>
      <c r="O133" s="15"/>
      <c r="P133" s="15"/>
      <c r="Q133" s="11"/>
      <c r="R133" s="11"/>
      <c r="S133" s="11"/>
      <c r="T133" s="11"/>
      <c r="U133" s="15"/>
      <c r="V133" s="11"/>
      <c r="W133" s="11"/>
      <c r="X133" s="11"/>
      <c r="Y133" s="11"/>
      <c r="Z133" s="11"/>
    </row>
    <row r="134">
      <c r="A134" s="18"/>
      <c r="B134" s="11"/>
      <c r="C134" s="11"/>
      <c r="D134" s="11"/>
      <c r="E134" s="11"/>
      <c r="F134" s="11"/>
      <c r="G134" s="11"/>
      <c r="H134" s="11"/>
      <c r="I134" s="11"/>
      <c r="J134" s="11"/>
      <c r="K134" s="11"/>
      <c r="L134" s="15"/>
      <c r="M134" s="15"/>
      <c r="N134" s="15"/>
      <c r="O134" s="15"/>
      <c r="P134" s="15"/>
      <c r="Q134" s="11"/>
      <c r="R134" s="11"/>
      <c r="S134" s="11"/>
      <c r="T134" s="11"/>
      <c r="U134" s="15"/>
      <c r="V134" s="11"/>
      <c r="W134" s="11"/>
      <c r="X134" s="11"/>
      <c r="Y134" s="11"/>
      <c r="Z134" s="11"/>
    </row>
    <row r="135">
      <c r="A135" s="18"/>
      <c r="B135" s="11"/>
      <c r="C135" s="11"/>
      <c r="D135" s="11"/>
      <c r="E135" s="11"/>
      <c r="F135" s="11"/>
      <c r="G135" s="11"/>
      <c r="H135" s="11"/>
      <c r="I135" s="11"/>
      <c r="J135" s="11"/>
      <c r="K135" s="11"/>
      <c r="L135" s="15"/>
      <c r="M135" s="15"/>
      <c r="N135" s="15"/>
      <c r="O135" s="15"/>
      <c r="P135" s="15"/>
      <c r="Q135" s="11"/>
      <c r="R135" s="11"/>
      <c r="S135" s="11"/>
      <c r="T135" s="11"/>
      <c r="U135" s="15"/>
      <c r="V135" s="11"/>
      <c r="W135" s="11"/>
      <c r="X135" s="11"/>
      <c r="Y135" s="11"/>
      <c r="Z135" s="11"/>
    </row>
    <row r="136">
      <c r="A136" s="18"/>
      <c r="B136" s="11"/>
      <c r="C136" s="11"/>
      <c r="D136" s="11"/>
      <c r="E136" s="11"/>
      <c r="F136" s="11"/>
      <c r="G136" s="11"/>
      <c r="H136" s="11"/>
      <c r="I136" s="11"/>
      <c r="J136" s="11"/>
      <c r="K136" s="11"/>
      <c r="L136" s="15"/>
      <c r="M136" s="15"/>
      <c r="N136" s="15"/>
      <c r="O136" s="15"/>
      <c r="P136" s="15"/>
      <c r="Q136" s="11"/>
      <c r="R136" s="11"/>
      <c r="S136" s="11"/>
      <c r="T136" s="11"/>
      <c r="U136" s="15"/>
      <c r="V136" s="11"/>
      <c r="W136" s="11"/>
      <c r="X136" s="11"/>
      <c r="Y136" s="11"/>
      <c r="Z136" s="11"/>
    </row>
    <row r="137">
      <c r="A137" s="18"/>
      <c r="B137" s="11"/>
      <c r="C137" s="11"/>
      <c r="D137" s="11"/>
      <c r="E137" s="11"/>
      <c r="F137" s="11"/>
      <c r="G137" s="11"/>
      <c r="H137" s="11"/>
      <c r="I137" s="11"/>
      <c r="J137" s="11"/>
      <c r="K137" s="11"/>
      <c r="L137" s="15"/>
      <c r="M137" s="15"/>
      <c r="N137" s="15"/>
      <c r="O137" s="15"/>
      <c r="P137" s="15"/>
      <c r="Q137" s="11"/>
      <c r="R137" s="11"/>
      <c r="S137" s="11"/>
      <c r="T137" s="11"/>
      <c r="U137" s="15"/>
      <c r="V137" s="11"/>
      <c r="W137" s="11"/>
      <c r="X137" s="11"/>
      <c r="Y137" s="11"/>
      <c r="Z137" s="11"/>
    </row>
    <row r="138">
      <c r="A138" s="18"/>
      <c r="B138" s="11"/>
      <c r="C138" s="11"/>
      <c r="D138" s="11"/>
      <c r="E138" s="11"/>
      <c r="F138" s="11"/>
      <c r="G138" s="11"/>
      <c r="H138" s="11"/>
      <c r="I138" s="11"/>
      <c r="J138" s="11"/>
      <c r="K138" s="11"/>
      <c r="L138" s="15"/>
      <c r="M138" s="15"/>
      <c r="N138" s="15"/>
      <c r="O138" s="15"/>
      <c r="P138" s="15"/>
      <c r="Q138" s="11"/>
      <c r="R138" s="11"/>
      <c r="S138" s="11"/>
      <c r="T138" s="11"/>
      <c r="U138" s="15"/>
      <c r="V138" s="11"/>
      <c r="W138" s="11"/>
      <c r="X138" s="11"/>
      <c r="Y138" s="11"/>
      <c r="Z138" s="11"/>
    </row>
    <row r="139">
      <c r="A139" s="18"/>
      <c r="B139" s="11"/>
      <c r="C139" s="11"/>
      <c r="D139" s="11"/>
      <c r="E139" s="11"/>
      <c r="F139" s="11"/>
      <c r="G139" s="11"/>
      <c r="H139" s="11"/>
      <c r="I139" s="11"/>
      <c r="J139" s="11"/>
      <c r="K139" s="11"/>
      <c r="L139" s="15"/>
      <c r="M139" s="15"/>
      <c r="N139" s="15"/>
      <c r="O139" s="15"/>
      <c r="P139" s="15"/>
      <c r="Q139" s="11"/>
      <c r="R139" s="11"/>
      <c r="S139" s="11"/>
      <c r="T139" s="11"/>
      <c r="U139" s="15"/>
      <c r="V139" s="11"/>
      <c r="W139" s="11"/>
      <c r="X139" s="11"/>
      <c r="Y139" s="11"/>
      <c r="Z139" s="11"/>
    </row>
    <row r="140">
      <c r="A140" s="18"/>
      <c r="B140" s="11"/>
      <c r="C140" s="11"/>
      <c r="D140" s="11"/>
      <c r="E140" s="11"/>
      <c r="F140" s="11"/>
      <c r="G140" s="11"/>
      <c r="H140" s="11"/>
      <c r="I140" s="11"/>
      <c r="J140" s="11"/>
      <c r="K140" s="11"/>
      <c r="L140" s="15"/>
      <c r="M140" s="15"/>
      <c r="N140" s="15"/>
      <c r="O140" s="15"/>
      <c r="P140" s="15"/>
      <c r="Q140" s="11"/>
      <c r="R140" s="11"/>
      <c r="S140" s="11"/>
      <c r="T140" s="11"/>
      <c r="U140" s="15"/>
      <c r="V140" s="11"/>
      <c r="W140" s="11"/>
      <c r="X140" s="11"/>
      <c r="Y140" s="11"/>
      <c r="Z140" s="11"/>
    </row>
    <row r="141">
      <c r="A141" s="18"/>
      <c r="B141" s="11"/>
      <c r="C141" s="11"/>
      <c r="D141" s="11"/>
      <c r="E141" s="11"/>
      <c r="F141" s="11"/>
      <c r="G141" s="11"/>
      <c r="H141" s="11"/>
      <c r="I141" s="11"/>
      <c r="J141" s="11"/>
      <c r="K141" s="11"/>
      <c r="L141" s="15"/>
      <c r="M141" s="15"/>
      <c r="N141" s="15"/>
      <c r="O141" s="15"/>
      <c r="P141" s="15"/>
      <c r="Q141" s="11"/>
      <c r="R141" s="11"/>
      <c r="S141" s="11"/>
      <c r="T141" s="11"/>
      <c r="U141" s="15"/>
      <c r="V141" s="11"/>
      <c r="W141" s="11"/>
      <c r="X141" s="11"/>
      <c r="Y141" s="11"/>
      <c r="Z141" s="11"/>
    </row>
    <row r="142">
      <c r="A142" s="18"/>
      <c r="B142" s="11"/>
      <c r="C142" s="11"/>
      <c r="D142" s="11"/>
      <c r="E142" s="11"/>
      <c r="F142" s="11"/>
      <c r="G142" s="11"/>
      <c r="H142" s="11"/>
      <c r="I142" s="11"/>
      <c r="J142" s="11"/>
      <c r="K142" s="11"/>
      <c r="L142" s="15"/>
      <c r="M142" s="15"/>
      <c r="N142" s="15"/>
      <c r="O142" s="15"/>
      <c r="P142" s="15"/>
      <c r="Q142" s="11"/>
      <c r="R142" s="11"/>
      <c r="S142" s="11"/>
      <c r="T142" s="11"/>
      <c r="U142" s="15"/>
      <c r="V142" s="11"/>
      <c r="W142" s="11"/>
      <c r="X142" s="11"/>
      <c r="Y142" s="11"/>
      <c r="Z142" s="11"/>
    </row>
    <row r="143">
      <c r="A143" s="18"/>
      <c r="B143" s="11"/>
      <c r="C143" s="11"/>
      <c r="D143" s="11"/>
      <c r="E143" s="11"/>
      <c r="F143" s="11"/>
      <c r="G143" s="11"/>
      <c r="H143" s="11"/>
      <c r="I143" s="11"/>
      <c r="J143" s="11"/>
      <c r="K143" s="11"/>
      <c r="L143" s="15"/>
      <c r="M143" s="15"/>
      <c r="N143" s="15"/>
      <c r="O143" s="15"/>
      <c r="P143" s="15"/>
      <c r="Q143" s="11"/>
      <c r="R143" s="11"/>
      <c r="S143" s="11"/>
      <c r="T143" s="11"/>
      <c r="U143" s="15"/>
      <c r="V143" s="11"/>
      <c r="W143" s="11"/>
      <c r="X143" s="11"/>
      <c r="Y143" s="11"/>
      <c r="Z143" s="11"/>
    </row>
    <row r="144">
      <c r="A144" s="18"/>
      <c r="B144" s="11"/>
      <c r="C144" s="11"/>
      <c r="D144" s="11"/>
      <c r="E144" s="11"/>
      <c r="F144" s="11"/>
      <c r="G144" s="11"/>
      <c r="H144" s="11"/>
      <c r="I144" s="11"/>
      <c r="J144" s="11"/>
      <c r="K144" s="11"/>
      <c r="L144" s="15"/>
      <c r="M144" s="15"/>
      <c r="N144" s="15"/>
      <c r="O144" s="15"/>
      <c r="P144" s="15"/>
      <c r="Q144" s="11"/>
      <c r="R144" s="11"/>
      <c r="S144" s="11"/>
      <c r="T144" s="11"/>
      <c r="U144" s="15"/>
      <c r="V144" s="11"/>
      <c r="W144" s="11"/>
      <c r="X144" s="11"/>
      <c r="Y144" s="11"/>
      <c r="Z144" s="11"/>
    </row>
    <row r="145">
      <c r="A145" s="18"/>
      <c r="B145" s="11"/>
      <c r="C145" s="11"/>
      <c r="D145" s="11"/>
      <c r="E145" s="11"/>
      <c r="F145" s="11"/>
      <c r="G145" s="11"/>
      <c r="H145" s="11"/>
      <c r="I145" s="11"/>
      <c r="J145" s="11"/>
      <c r="K145" s="11"/>
      <c r="L145" s="15"/>
      <c r="M145" s="15"/>
      <c r="N145" s="15"/>
      <c r="O145" s="15"/>
      <c r="P145" s="15"/>
      <c r="Q145" s="11"/>
      <c r="R145" s="11"/>
      <c r="S145" s="11"/>
      <c r="T145" s="11"/>
      <c r="U145" s="15"/>
      <c r="V145" s="11"/>
      <c r="W145" s="11"/>
      <c r="X145" s="11"/>
      <c r="Y145" s="11"/>
      <c r="Z145" s="11"/>
    </row>
    <row r="146">
      <c r="A146" s="18"/>
      <c r="B146" s="11"/>
      <c r="C146" s="11"/>
      <c r="D146" s="11"/>
      <c r="E146" s="11"/>
      <c r="F146" s="11"/>
      <c r="G146" s="11"/>
      <c r="H146" s="11"/>
      <c r="I146" s="11"/>
      <c r="J146" s="11"/>
      <c r="K146" s="11"/>
      <c r="L146" s="15"/>
      <c r="M146" s="15"/>
      <c r="N146" s="15"/>
      <c r="O146" s="15"/>
      <c r="P146" s="15"/>
      <c r="Q146" s="11"/>
      <c r="R146" s="11"/>
      <c r="S146" s="11"/>
      <c r="T146" s="11"/>
      <c r="U146" s="15"/>
      <c r="V146" s="11"/>
      <c r="W146" s="11"/>
      <c r="X146" s="11"/>
      <c r="Y146" s="11"/>
      <c r="Z146" s="11"/>
    </row>
    <row r="147">
      <c r="A147" s="18"/>
      <c r="B147" s="11"/>
      <c r="C147" s="11"/>
      <c r="D147" s="11"/>
      <c r="E147" s="11"/>
      <c r="F147" s="11"/>
      <c r="G147" s="11"/>
      <c r="H147" s="11"/>
      <c r="I147" s="11"/>
      <c r="J147" s="11"/>
      <c r="K147" s="11"/>
      <c r="L147" s="15"/>
      <c r="M147" s="15"/>
      <c r="N147" s="15"/>
      <c r="O147" s="15"/>
      <c r="P147" s="15"/>
      <c r="Q147" s="11"/>
      <c r="R147" s="11"/>
      <c r="S147" s="11"/>
      <c r="T147" s="11"/>
      <c r="U147" s="15"/>
      <c r="V147" s="11"/>
      <c r="W147" s="11"/>
      <c r="X147" s="11"/>
      <c r="Y147" s="11"/>
      <c r="Z147" s="11"/>
    </row>
    <row r="148">
      <c r="A148" s="18"/>
      <c r="B148" s="11"/>
      <c r="C148" s="11"/>
      <c r="D148" s="11"/>
      <c r="E148" s="11"/>
      <c r="F148" s="11"/>
      <c r="G148" s="11"/>
      <c r="H148" s="11"/>
      <c r="I148" s="11"/>
      <c r="J148" s="11"/>
      <c r="K148" s="11"/>
      <c r="L148" s="15"/>
      <c r="M148" s="15"/>
      <c r="N148" s="15"/>
      <c r="O148" s="15"/>
      <c r="P148" s="15"/>
      <c r="Q148" s="11"/>
      <c r="R148" s="11"/>
      <c r="S148" s="11"/>
      <c r="T148" s="11"/>
      <c r="U148" s="15"/>
      <c r="V148" s="11"/>
      <c r="W148" s="11"/>
      <c r="X148" s="11"/>
      <c r="Y148" s="11"/>
      <c r="Z148" s="11"/>
    </row>
    <row r="149">
      <c r="A149" s="18"/>
      <c r="B149" s="11"/>
      <c r="C149" s="11"/>
      <c r="D149" s="11"/>
      <c r="E149" s="11"/>
      <c r="F149" s="11"/>
      <c r="G149" s="11"/>
      <c r="H149" s="11"/>
      <c r="I149" s="11"/>
      <c r="J149" s="11"/>
      <c r="K149" s="11"/>
      <c r="L149" s="15"/>
      <c r="M149" s="15"/>
      <c r="N149" s="15"/>
      <c r="O149" s="15"/>
      <c r="P149" s="15"/>
      <c r="Q149" s="11"/>
      <c r="R149" s="11"/>
      <c r="S149" s="11"/>
      <c r="T149" s="11"/>
      <c r="U149" s="15"/>
      <c r="V149" s="11"/>
      <c r="W149" s="11"/>
      <c r="X149" s="11"/>
      <c r="Y149" s="11"/>
      <c r="Z149" s="11"/>
    </row>
    <row r="150">
      <c r="A150" s="18"/>
      <c r="B150" s="11"/>
      <c r="C150" s="11"/>
      <c r="D150" s="11"/>
      <c r="E150" s="11"/>
      <c r="F150" s="11"/>
      <c r="G150" s="11"/>
      <c r="H150" s="11"/>
      <c r="I150" s="11"/>
      <c r="J150" s="11"/>
      <c r="K150" s="11"/>
      <c r="L150" s="15"/>
      <c r="M150" s="15"/>
      <c r="N150" s="15"/>
      <c r="O150" s="15"/>
      <c r="P150" s="15"/>
      <c r="Q150" s="11"/>
      <c r="R150" s="11"/>
      <c r="S150" s="11"/>
      <c r="T150" s="11"/>
      <c r="U150" s="15"/>
      <c r="V150" s="11"/>
      <c r="W150" s="11"/>
      <c r="X150" s="11"/>
      <c r="Y150" s="11"/>
      <c r="Z150" s="11"/>
    </row>
    <row r="151">
      <c r="A151" s="18"/>
      <c r="B151" s="11"/>
      <c r="C151" s="11"/>
      <c r="D151" s="11"/>
      <c r="E151" s="11"/>
      <c r="F151" s="11"/>
      <c r="G151" s="11"/>
      <c r="H151" s="11"/>
      <c r="I151" s="11"/>
      <c r="J151" s="11"/>
      <c r="K151" s="11"/>
      <c r="L151" s="15"/>
      <c r="M151" s="15"/>
      <c r="N151" s="15"/>
      <c r="O151" s="15"/>
      <c r="P151" s="15"/>
      <c r="Q151" s="11"/>
      <c r="R151" s="11"/>
      <c r="S151" s="11"/>
      <c r="T151" s="11"/>
      <c r="U151" s="15"/>
      <c r="V151" s="11"/>
      <c r="W151" s="11"/>
      <c r="X151" s="11"/>
      <c r="Y151" s="11"/>
      <c r="Z151" s="11"/>
    </row>
    <row r="152">
      <c r="A152" s="18"/>
      <c r="B152" s="11"/>
      <c r="C152" s="11"/>
      <c r="D152" s="11"/>
      <c r="E152" s="11"/>
      <c r="F152" s="11"/>
      <c r="G152" s="11"/>
      <c r="H152" s="11"/>
      <c r="I152" s="11"/>
      <c r="J152" s="11"/>
      <c r="K152" s="11"/>
      <c r="L152" s="15"/>
      <c r="M152" s="15"/>
      <c r="N152" s="15"/>
      <c r="O152" s="15"/>
      <c r="P152" s="15"/>
      <c r="Q152" s="11"/>
      <c r="R152" s="11"/>
      <c r="S152" s="11"/>
      <c r="T152" s="11"/>
      <c r="U152" s="15"/>
      <c r="V152" s="11"/>
      <c r="W152" s="11"/>
      <c r="X152" s="11"/>
      <c r="Y152" s="11"/>
      <c r="Z152" s="11"/>
    </row>
    <row r="153">
      <c r="A153" s="18"/>
      <c r="B153" s="11"/>
      <c r="C153" s="11"/>
      <c r="D153" s="11"/>
      <c r="E153" s="11"/>
      <c r="F153" s="11"/>
      <c r="G153" s="11"/>
      <c r="H153" s="11"/>
      <c r="I153" s="11"/>
      <c r="J153" s="11"/>
      <c r="K153" s="11"/>
      <c r="L153" s="15"/>
      <c r="M153" s="15"/>
      <c r="N153" s="15"/>
      <c r="O153" s="15"/>
      <c r="P153" s="15"/>
      <c r="Q153" s="11"/>
      <c r="R153" s="11"/>
      <c r="S153" s="11"/>
      <c r="T153" s="11"/>
      <c r="U153" s="15"/>
      <c r="V153" s="11"/>
      <c r="W153" s="11"/>
      <c r="X153" s="11"/>
      <c r="Y153" s="11"/>
      <c r="Z153" s="11"/>
    </row>
    <row r="154">
      <c r="A154" s="18"/>
      <c r="B154" s="11"/>
      <c r="C154" s="11"/>
      <c r="D154" s="11"/>
      <c r="E154" s="11"/>
      <c r="F154" s="11"/>
      <c r="G154" s="11"/>
      <c r="H154" s="11"/>
      <c r="I154" s="11"/>
      <c r="J154" s="11"/>
      <c r="K154" s="11"/>
      <c r="L154" s="15"/>
      <c r="M154" s="15"/>
      <c r="N154" s="15"/>
      <c r="O154" s="15"/>
      <c r="P154" s="15"/>
      <c r="Q154" s="11"/>
      <c r="R154" s="11"/>
      <c r="S154" s="11"/>
      <c r="T154" s="11"/>
      <c r="U154" s="15"/>
      <c r="V154" s="11"/>
      <c r="W154" s="11"/>
      <c r="X154" s="11"/>
      <c r="Y154" s="11"/>
      <c r="Z154" s="11"/>
    </row>
    <row r="155">
      <c r="A155" s="18"/>
      <c r="B155" s="11"/>
      <c r="C155" s="11"/>
      <c r="D155" s="11"/>
      <c r="E155" s="11"/>
      <c r="F155" s="11"/>
      <c r="G155" s="11"/>
      <c r="H155" s="11"/>
      <c r="I155" s="11"/>
      <c r="J155" s="11"/>
      <c r="K155" s="11"/>
      <c r="L155" s="15"/>
      <c r="M155" s="15"/>
      <c r="N155" s="15"/>
      <c r="O155" s="15"/>
      <c r="P155" s="15"/>
      <c r="Q155" s="11"/>
      <c r="R155" s="11"/>
      <c r="S155" s="11"/>
      <c r="T155" s="11"/>
      <c r="U155" s="15"/>
      <c r="V155" s="11"/>
      <c r="W155" s="11"/>
      <c r="X155" s="11"/>
      <c r="Y155" s="11"/>
      <c r="Z155" s="11"/>
    </row>
    <row r="156">
      <c r="A156" s="18"/>
      <c r="B156" s="11"/>
      <c r="C156" s="11"/>
      <c r="D156" s="11"/>
      <c r="E156" s="11"/>
      <c r="F156" s="11"/>
      <c r="G156" s="11"/>
      <c r="H156" s="11"/>
      <c r="I156" s="11"/>
      <c r="J156" s="11"/>
      <c r="K156" s="11"/>
      <c r="L156" s="15"/>
      <c r="M156" s="15"/>
      <c r="N156" s="15"/>
      <c r="O156" s="15"/>
      <c r="P156" s="15"/>
      <c r="Q156" s="11"/>
      <c r="R156" s="11"/>
      <c r="S156" s="11"/>
      <c r="T156" s="11"/>
      <c r="U156" s="15"/>
      <c r="V156" s="11"/>
      <c r="W156" s="11"/>
      <c r="X156" s="11"/>
      <c r="Y156" s="11"/>
      <c r="Z156" s="11"/>
    </row>
    <row r="157">
      <c r="A157" s="18"/>
      <c r="B157" s="11"/>
      <c r="C157" s="11"/>
      <c r="D157" s="11"/>
      <c r="E157" s="11"/>
      <c r="F157" s="11"/>
      <c r="G157" s="11"/>
      <c r="H157" s="11"/>
      <c r="I157" s="11"/>
      <c r="J157" s="11"/>
      <c r="K157" s="11"/>
      <c r="L157" s="15"/>
      <c r="M157" s="15"/>
      <c r="N157" s="15"/>
      <c r="O157" s="15"/>
      <c r="P157" s="15"/>
      <c r="Q157" s="11"/>
      <c r="R157" s="11"/>
      <c r="S157" s="11"/>
      <c r="T157" s="11"/>
      <c r="U157" s="15"/>
      <c r="V157" s="11"/>
      <c r="W157" s="11"/>
      <c r="X157" s="11"/>
      <c r="Y157" s="11"/>
      <c r="Z157" s="11"/>
    </row>
    <row r="158">
      <c r="A158" s="18"/>
      <c r="B158" s="11"/>
      <c r="C158" s="11"/>
      <c r="D158" s="11"/>
      <c r="E158" s="11"/>
      <c r="F158" s="11"/>
      <c r="G158" s="11"/>
      <c r="H158" s="11"/>
      <c r="I158" s="11"/>
      <c r="J158" s="11"/>
      <c r="K158" s="11"/>
      <c r="L158" s="15"/>
      <c r="M158" s="15"/>
      <c r="N158" s="15"/>
      <c r="O158" s="15"/>
      <c r="P158" s="15"/>
      <c r="Q158" s="11"/>
      <c r="R158" s="11"/>
      <c r="S158" s="11"/>
      <c r="T158" s="11"/>
      <c r="U158" s="15"/>
      <c r="V158" s="11"/>
      <c r="W158" s="11"/>
      <c r="X158" s="11"/>
      <c r="Y158" s="11"/>
      <c r="Z158" s="11"/>
    </row>
    <row r="159">
      <c r="A159" s="18"/>
      <c r="B159" s="11"/>
      <c r="C159" s="11"/>
      <c r="D159" s="11"/>
      <c r="E159" s="11"/>
      <c r="F159" s="11"/>
      <c r="G159" s="11"/>
      <c r="H159" s="11"/>
      <c r="I159" s="11"/>
      <c r="J159" s="11"/>
      <c r="K159" s="11"/>
      <c r="L159" s="15"/>
      <c r="M159" s="15"/>
      <c r="N159" s="15"/>
      <c r="O159" s="15"/>
      <c r="P159" s="15"/>
      <c r="Q159" s="11"/>
      <c r="R159" s="11"/>
      <c r="S159" s="11"/>
      <c r="T159" s="11"/>
      <c r="U159" s="15"/>
      <c r="V159" s="11"/>
      <c r="W159" s="11"/>
      <c r="X159" s="11"/>
      <c r="Y159" s="11"/>
      <c r="Z159" s="11"/>
    </row>
    <row r="160">
      <c r="A160" s="18"/>
      <c r="B160" s="11"/>
      <c r="C160" s="11"/>
      <c r="D160" s="11"/>
      <c r="E160" s="11"/>
      <c r="F160" s="11"/>
      <c r="G160" s="11"/>
      <c r="H160" s="11"/>
      <c r="I160" s="11"/>
      <c r="J160" s="11"/>
      <c r="K160" s="11"/>
      <c r="L160" s="15"/>
      <c r="M160" s="15"/>
      <c r="N160" s="15"/>
      <c r="O160" s="15"/>
      <c r="P160" s="15"/>
      <c r="Q160" s="11"/>
      <c r="R160" s="11"/>
      <c r="S160" s="11"/>
      <c r="T160" s="11"/>
      <c r="U160" s="15"/>
      <c r="V160" s="11"/>
      <c r="W160" s="11"/>
      <c r="X160" s="11"/>
      <c r="Y160" s="11"/>
      <c r="Z160" s="11"/>
    </row>
    <row r="161">
      <c r="A161" s="18"/>
      <c r="B161" s="11"/>
      <c r="C161" s="11"/>
      <c r="D161" s="11"/>
      <c r="E161" s="11"/>
      <c r="F161" s="11"/>
      <c r="G161" s="11"/>
      <c r="H161" s="11"/>
      <c r="I161" s="11"/>
      <c r="J161" s="11"/>
      <c r="K161" s="11"/>
      <c r="L161" s="15"/>
      <c r="M161" s="15"/>
      <c r="N161" s="15"/>
      <c r="O161" s="15"/>
      <c r="P161" s="15"/>
      <c r="Q161" s="11"/>
      <c r="R161" s="11"/>
      <c r="S161" s="11"/>
      <c r="T161" s="11"/>
      <c r="U161" s="15"/>
      <c r="V161" s="11"/>
      <c r="W161" s="11"/>
      <c r="X161" s="11"/>
      <c r="Y161" s="11"/>
      <c r="Z161" s="11"/>
    </row>
    <row r="162">
      <c r="A162" s="18"/>
      <c r="B162" s="11"/>
      <c r="C162" s="11"/>
      <c r="D162" s="11"/>
      <c r="E162" s="11"/>
      <c r="F162" s="11"/>
      <c r="G162" s="11"/>
      <c r="H162" s="11"/>
      <c r="I162" s="11"/>
      <c r="J162" s="11"/>
      <c r="K162" s="11"/>
      <c r="L162" s="15"/>
      <c r="M162" s="15"/>
      <c r="N162" s="15"/>
      <c r="O162" s="15"/>
      <c r="P162" s="15"/>
      <c r="Q162" s="11"/>
      <c r="R162" s="11"/>
      <c r="S162" s="11"/>
      <c r="T162" s="11"/>
      <c r="U162" s="15"/>
      <c r="V162" s="11"/>
      <c r="W162" s="11"/>
      <c r="X162" s="11"/>
      <c r="Y162" s="11"/>
      <c r="Z162" s="11"/>
    </row>
    <row r="163">
      <c r="A163" s="18"/>
      <c r="B163" s="11"/>
      <c r="C163" s="11"/>
      <c r="D163" s="11"/>
      <c r="E163" s="11"/>
      <c r="F163" s="11"/>
      <c r="G163" s="11"/>
      <c r="H163" s="11"/>
      <c r="I163" s="11"/>
      <c r="J163" s="11"/>
      <c r="K163" s="11"/>
      <c r="L163" s="15"/>
      <c r="M163" s="15"/>
      <c r="N163" s="15"/>
      <c r="O163" s="15"/>
      <c r="P163" s="15"/>
      <c r="Q163" s="11"/>
      <c r="R163" s="11"/>
      <c r="S163" s="11"/>
      <c r="T163" s="11"/>
      <c r="U163" s="15"/>
      <c r="V163" s="11"/>
      <c r="W163" s="11"/>
      <c r="X163" s="11"/>
      <c r="Y163" s="11"/>
      <c r="Z163" s="11"/>
    </row>
    <row r="164">
      <c r="A164" s="18"/>
      <c r="B164" s="11"/>
      <c r="C164" s="11"/>
      <c r="D164" s="11"/>
      <c r="E164" s="11"/>
      <c r="F164" s="11"/>
      <c r="G164" s="11"/>
      <c r="H164" s="11"/>
      <c r="I164" s="11"/>
      <c r="J164" s="11"/>
      <c r="K164" s="11"/>
      <c r="L164" s="15"/>
      <c r="M164" s="15"/>
      <c r="N164" s="15"/>
      <c r="O164" s="15"/>
      <c r="P164" s="15"/>
      <c r="Q164" s="11"/>
      <c r="R164" s="11"/>
      <c r="S164" s="11"/>
      <c r="T164" s="11"/>
      <c r="U164" s="15"/>
      <c r="V164" s="11"/>
      <c r="W164" s="11"/>
      <c r="X164" s="11"/>
      <c r="Y164" s="11"/>
      <c r="Z164" s="11"/>
    </row>
    <row r="165">
      <c r="A165" s="18"/>
      <c r="B165" s="11"/>
      <c r="C165" s="11"/>
      <c r="D165" s="11"/>
      <c r="E165" s="11"/>
      <c r="F165" s="11"/>
      <c r="G165" s="11"/>
      <c r="H165" s="11"/>
      <c r="I165" s="11"/>
      <c r="J165" s="11"/>
      <c r="K165" s="11"/>
      <c r="L165" s="15"/>
      <c r="M165" s="15"/>
      <c r="N165" s="15"/>
      <c r="O165" s="15"/>
      <c r="P165" s="15"/>
      <c r="Q165" s="11"/>
      <c r="R165" s="11"/>
      <c r="S165" s="11"/>
      <c r="T165" s="11"/>
      <c r="U165" s="15"/>
      <c r="V165" s="11"/>
      <c r="W165" s="11"/>
      <c r="X165" s="11"/>
      <c r="Y165" s="11"/>
      <c r="Z165" s="11"/>
    </row>
    <row r="166">
      <c r="A166" s="18"/>
      <c r="B166" s="11"/>
      <c r="C166" s="11"/>
      <c r="D166" s="11"/>
      <c r="E166" s="11"/>
      <c r="F166" s="11"/>
      <c r="G166" s="11"/>
      <c r="H166" s="11"/>
      <c r="I166" s="11"/>
      <c r="J166" s="11"/>
      <c r="K166" s="11"/>
      <c r="L166" s="15"/>
      <c r="M166" s="15"/>
      <c r="N166" s="15"/>
      <c r="O166" s="15"/>
      <c r="P166" s="15"/>
      <c r="Q166" s="11"/>
      <c r="R166" s="11"/>
      <c r="S166" s="11"/>
      <c r="T166" s="11"/>
      <c r="U166" s="15"/>
      <c r="V166" s="11"/>
      <c r="W166" s="11"/>
      <c r="X166" s="11"/>
      <c r="Y166" s="11"/>
      <c r="Z166" s="11"/>
    </row>
    <row r="167">
      <c r="A167" s="18"/>
      <c r="B167" s="11"/>
      <c r="C167" s="11"/>
      <c r="D167" s="11"/>
      <c r="E167" s="11"/>
      <c r="F167" s="11"/>
      <c r="G167" s="11"/>
      <c r="H167" s="11"/>
      <c r="I167" s="11"/>
      <c r="J167" s="11"/>
      <c r="K167" s="11"/>
      <c r="L167" s="15"/>
      <c r="M167" s="15"/>
      <c r="N167" s="15"/>
      <c r="O167" s="15"/>
      <c r="P167" s="15"/>
      <c r="Q167" s="11"/>
      <c r="R167" s="11"/>
      <c r="S167" s="11"/>
      <c r="T167" s="11"/>
      <c r="U167" s="15"/>
      <c r="V167" s="11"/>
      <c r="W167" s="11"/>
      <c r="X167" s="11"/>
      <c r="Y167" s="11"/>
      <c r="Z167" s="11"/>
    </row>
    <row r="168">
      <c r="A168" s="18"/>
      <c r="B168" s="11"/>
      <c r="C168" s="11"/>
      <c r="D168" s="11"/>
      <c r="E168" s="11"/>
      <c r="F168" s="11"/>
      <c r="G168" s="11"/>
      <c r="H168" s="11"/>
      <c r="I168" s="11"/>
      <c r="J168" s="11"/>
      <c r="K168" s="11"/>
      <c r="L168" s="15"/>
      <c r="M168" s="15"/>
      <c r="N168" s="15"/>
      <c r="O168" s="15"/>
      <c r="P168" s="15"/>
      <c r="Q168" s="11"/>
      <c r="R168" s="11"/>
      <c r="S168" s="11"/>
      <c r="T168" s="11"/>
      <c r="U168" s="15"/>
      <c r="V168" s="11"/>
      <c r="W168" s="11"/>
      <c r="X168" s="11"/>
      <c r="Y168" s="11"/>
      <c r="Z168" s="11"/>
    </row>
    <row r="169">
      <c r="A169" s="18"/>
      <c r="B169" s="11"/>
      <c r="C169" s="11"/>
      <c r="D169" s="11"/>
      <c r="E169" s="11"/>
      <c r="F169" s="11"/>
      <c r="G169" s="11"/>
      <c r="H169" s="11"/>
      <c r="I169" s="11"/>
      <c r="J169" s="11"/>
      <c r="K169" s="11"/>
      <c r="L169" s="15"/>
      <c r="M169" s="15"/>
      <c r="N169" s="15"/>
      <c r="O169" s="15"/>
      <c r="P169" s="15"/>
      <c r="Q169" s="11"/>
      <c r="R169" s="11"/>
      <c r="S169" s="11"/>
      <c r="T169" s="11"/>
      <c r="U169" s="15"/>
      <c r="V169" s="11"/>
      <c r="W169" s="11"/>
      <c r="X169" s="11"/>
      <c r="Y169" s="11"/>
      <c r="Z169" s="11"/>
    </row>
    <row r="170">
      <c r="A170" s="18"/>
      <c r="B170" s="11"/>
      <c r="C170" s="11"/>
      <c r="D170" s="11"/>
      <c r="E170" s="11"/>
      <c r="F170" s="11"/>
      <c r="G170" s="11"/>
      <c r="H170" s="11"/>
      <c r="I170" s="11"/>
      <c r="J170" s="11"/>
      <c r="K170" s="11"/>
      <c r="L170" s="15"/>
      <c r="M170" s="15"/>
      <c r="N170" s="15"/>
      <c r="O170" s="15"/>
      <c r="P170" s="15"/>
      <c r="Q170" s="11"/>
      <c r="R170" s="11"/>
      <c r="S170" s="11"/>
      <c r="T170" s="11"/>
      <c r="U170" s="15"/>
      <c r="V170" s="11"/>
      <c r="W170" s="11"/>
      <c r="X170" s="11"/>
      <c r="Y170" s="11"/>
      <c r="Z170" s="11"/>
    </row>
    <row r="171">
      <c r="A171" s="18"/>
      <c r="B171" s="11"/>
      <c r="C171" s="11"/>
      <c r="D171" s="11"/>
      <c r="E171" s="11"/>
      <c r="F171" s="11"/>
      <c r="G171" s="11"/>
      <c r="H171" s="11"/>
      <c r="I171" s="11"/>
      <c r="J171" s="11"/>
      <c r="K171" s="11"/>
      <c r="L171" s="15"/>
      <c r="M171" s="15"/>
      <c r="N171" s="15"/>
      <c r="O171" s="15"/>
      <c r="P171" s="15"/>
      <c r="Q171" s="11"/>
      <c r="R171" s="11"/>
      <c r="S171" s="11"/>
      <c r="T171" s="11"/>
      <c r="U171" s="15"/>
      <c r="V171" s="11"/>
      <c r="W171" s="11"/>
      <c r="X171" s="11"/>
      <c r="Y171" s="11"/>
      <c r="Z171" s="11"/>
    </row>
    <row r="172">
      <c r="A172" s="18"/>
      <c r="B172" s="11"/>
      <c r="C172" s="11"/>
      <c r="D172" s="11"/>
      <c r="E172" s="11"/>
      <c r="F172" s="11"/>
      <c r="G172" s="11"/>
      <c r="H172" s="11"/>
      <c r="I172" s="11"/>
      <c r="J172" s="11"/>
      <c r="K172" s="11"/>
      <c r="L172" s="15"/>
      <c r="M172" s="15"/>
      <c r="N172" s="15"/>
      <c r="O172" s="15"/>
      <c r="P172" s="15"/>
      <c r="Q172" s="11"/>
      <c r="R172" s="11"/>
      <c r="S172" s="11"/>
      <c r="T172" s="11"/>
      <c r="U172" s="15"/>
      <c r="V172" s="11"/>
      <c r="W172" s="11"/>
      <c r="X172" s="11"/>
      <c r="Y172" s="11"/>
      <c r="Z172" s="11"/>
    </row>
    <row r="173">
      <c r="A173" s="18"/>
      <c r="B173" s="11"/>
      <c r="C173" s="11"/>
      <c r="D173" s="11"/>
      <c r="E173" s="11"/>
      <c r="F173" s="11"/>
      <c r="G173" s="11"/>
      <c r="H173" s="11"/>
      <c r="I173" s="11"/>
      <c r="J173" s="11"/>
      <c r="K173" s="11"/>
      <c r="L173" s="15"/>
      <c r="M173" s="15"/>
      <c r="N173" s="15"/>
      <c r="O173" s="15"/>
      <c r="P173" s="15"/>
      <c r="Q173" s="11"/>
      <c r="R173" s="11"/>
      <c r="S173" s="11"/>
      <c r="T173" s="11"/>
      <c r="U173" s="15"/>
      <c r="V173" s="11"/>
      <c r="W173" s="11"/>
      <c r="X173" s="11"/>
      <c r="Y173" s="11"/>
      <c r="Z173" s="11"/>
    </row>
    <row r="174">
      <c r="A174" s="18"/>
      <c r="B174" s="11"/>
      <c r="C174" s="11"/>
      <c r="D174" s="11"/>
      <c r="E174" s="11"/>
      <c r="F174" s="11"/>
      <c r="G174" s="11"/>
      <c r="H174" s="11"/>
      <c r="I174" s="11"/>
      <c r="J174" s="11"/>
      <c r="K174" s="11"/>
      <c r="L174" s="15"/>
      <c r="M174" s="15"/>
      <c r="N174" s="15"/>
      <c r="O174" s="15"/>
      <c r="P174" s="15"/>
      <c r="Q174" s="11"/>
      <c r="R174" s="11"/>
      <c r="S174" s="11"/>
      <c r="T174" s="11"/>
      <c r="U174" s="15"/>
      <c r="V174" s="11"/>
      <c r="W174" s="11"/>
      <c r="X174" s="11"/>
      <c r="Y174" s="11"/>
      <c r="Z174" s="11"/>
    </row>
    <row r="175">
      <c r="A175" s="18"/>
      <c r="B175" s="11"/>
      <c r="C175" s="11"/>
      <c r="D175" s="11"/>
      <c r="E175" s="11"/>
      <c r="F175" s="11"/>
      <c r="G175" s="11"/>
      <c r="H175" s="11"/>
      <c r="I175" s="11"/>
      <c r="J175" s="11"/>
      <c r="K175" s="11"/>
      <c r="L175" s="15"/>
      <c r="M175" s="15"/>
      <c r="N175" s="15"/>
      <c r="O175" s="15"/>
      <c r="P175" s="15"/>
      <c r="Q175" s="11"/>
      <c r="R175" s="11"/>
      <c r="S175" s="11"/>
      <c r="T175" s="11"/>
      <c r="U175" s="15"/>
      <c r="V175" s="11"/>
      <c r="W175" s="11"/>
      <c r="X175" s="11"/>
      <c r="Y175" s="11"/>
      <c r="Z175" s="11"/>
    </row>
    <row r="176">
      <c r="A176" s="18"/>
      <c r="B176" s="11"/>
      <c r="C176" s="11"/>
      <c r="D176" s="11"/>
      <c r="E176" s="11"/>
      <c r="F176" s="11"/>
      <c r="G176" s="11"/>
      <c r="H176" s="11"/>
      <c r="I176" s="11"/>
      <c r="J176" s="11"/>
      <c r="K176" s="11"/>
      <c r="L176" s="15"/>
      <c r="M176" s="15"/>
      <c r="N176" s="15"/>
      <c r="O176" s="15"/>
      <c r="P176" s="15"/>
      <c r="Q176" s="11"/>
      <c r="R176" s="11"/>
      <c r="S176" s="11"/>
      <c r="T176" s="11"/>
      <c r="U176" s="15"/>
      <c r="V176" s="11"/>
      <c r="W176" s="11"/>
      <c r="X176" s="11"/>
      <c r="Y176" s="11"/>
      <c r="Z176" s="11"/>
    </row>
    <row r="177">
      <c r="A177" s="18"/>
      <c r="B177" s="11"/>
      <c r="C177" s="11"/>
      <c r="D177" s="11"/>
      <c r="E177" s="11"/>
      <c r="F177" s="11"/>
      <c r="G177" s="11"/>
      <c r="H177" s="11"/>
      <c r="I177" s="11"/>
      <c r="J177" s="11"/>
      <c r="K177" s="11"/>
      <c r="L177" s="15"/>
      <c r="M177" s="15"/>
      <c r="N177" s="15"/>
      <c r="O177" s="15"/>
      <c r="P177" s="15"/>
      <c r="Q177" s="11"/>
      <c r="R177" s="11"/>
      <c r="S177" s="11"/>
      <c r="T177" s="11"/>
      <c r="U177" s="15"/>
      <c r="V177" s="11"/>
      <c r="W177" s="11"/>
      <c r="X177" s="11"/>
      <c r="Y177" s="11"/>
      <c r="Z177" s="11"/>
    </row>
    <row r="178">
      <c r="A178" s="18"/>
      <c r="B178" s="11"/>
      <c r="C178" s="11"/>
      <c r="D178" s="11"/>
      <c r="E178" s="11"/>
      <c r="F178" s="11"/>
      <c r="G178" s="11"/>
      <c r="H178" s="11"/>
      <c r="I178" s="11"/>
      <c r="J178" s="11"/>
      <c r="K178" s="11"/>
      <c r="L178" s="15"/>
      <c r="M178" s="15"/>
      <c r="N178" s="15"/>
      <c r="O178" s="15"/>
      <c r="P178" s="15"/>
      <c r="Q178" s="11"/>
      <c r="R178" s="11"/>
      <c r="S178" s="11"/>
      <c r="T178" s="11"/>
      <c r="U178" s="15"/>
      <c r="V178" s="11"/>
      <c r="W178" s="11"/>
      <c r="X178" s="11"/>
      <c r="Y178" s="11"/>
      <c r="Z178" s="11"/>
    </row>
    <row r="179">
      <c r="A179" s="18"/>
      <c r="B179" s="11"/>
      <c r="C179" s="11"/>
      <c r="D179" s="11"/>
      <c r="E179" s="11"/>
      <c r="F179" s="11"/>
      <c r="G179" s="11"/>
      <c r="H179" s="11"/>
      <c r="I179" s="11"/>
      <c r="J179" s="11"/>
      <c r="K179" s="11"/>
      <c r="L179" s="15"/>
      <c r="M179" s="15"/>
      <c r="N179" s="15"/>
      <c r="O179" s="15"/>
      <c r="P179" s="15"/>
      <c r="Q179" s="11"/>
      <c r="R179" s="11"/>
      <c r="S179" s="11"/>
      <c r="T179" s="11"/>
      <c r="U179" s="15"/>
      <c r="V179" s="11"/>
      <c r="W179" s="11"/>
      <c r="X179" s="11"/>
      <c r="Y179" s="11"/>
      <c r="Z179" s="11"/>
    </row>
    <row r="180">
      <c r="A180" s="18"/>
      <c r="B180" s="11"/>
      <c r="C180" s="11"/>
      <c r="D180" s="11"/>
      <c r="E180" s="11"/>
      <c r="F180" s="11"/>
      <c r="G180" s="11"/>
      <c r="H180" s="11"/>
      <c r="I180" s="11"/>
      <c r="J180" s="11"/>
      <c r="K180" s="11"/>
      <c r="L180" s="15"/>
      <c r="M180" s="15"/>
      <c r="N180" s="15"/>
      <c r="O180" s="15"/>
      <c r="P180" s="15"/>
      <c r="Q180" s="11"/>
      <c r="R180" s="11"/>
      <c r="S180" s="11"/>
      <c r="T180" s="11"/>
      <c r="U180" s="15"/>
      <c r="V180" s="11"/>
      <c r="W180" s="11"/>
      <c r="X180" s="11"/>
      <c r="Y180" s="11"/>
      <c r="Z180" s="11"/>
    </row>
    <row r="181">
      <c r="A181" s="18"/>
      <c r="B181" s="11"/>
      <c r="C181" s="11"/>
      <c r="D181" s="11"/>
      <c r="E181" s="11"/>
      <c r="F181" s="11"/>
      <c r="G181" s="11"/>
      <c r="H181" s="11"/>
      <c r="I181" s="11"/>
      <c r="J181" s="11"/>
      <c r="K181" s="11"/>
      <c r="L181" s="15"/>
      <c r="M181" s="15"/>
      <c r="N181" s="15"/>
      <c r="O181" s="15"/>
      <c r="P181" s="15"/>
      <c r="Q181" s="11"/>
      <c r="R181" s="11"/>
      <c r="S181" s="11"/>
      <c r="T181" s="11"/>
      <c r="U181" s="15"/>
      <c r="V181" s="11"/>
      <c r="W181" s="11"/>
      <c r="X181" s="11"/>
      <c r="Y181" s="11"/>
      <c r="Z181" s="11"/>
    </row>
    <row r="182">
      <c r="A182" s="18"/>
      <c r="B182" s="11"/>
      <c r="C182" s="11"/>
      <c r="D182" s="11"/>
      <c r="E182" s="11"/>
      <c r="F182" s="11"/>
      <c r="G182" s="11"/>
      <c r="H182" s="11"/>
      <c r="I182" s="11"/>
      <c r="J182" s="11"/>
      <c r="K182" s="11"/>
      <c r="L182" s="15"/>
      <c r="M182" s="15"/>
      <c r="N182" s="15"/>
      <c r="O182" s="15"/>
      <c r="P182" s="15"/>
      <c r="Q182" s="11"/>
      <c r="R182" s="11"/>
      <c r="S182" s="11"/>
      <c r="T182" s="11"/>
      <c r="U182" s="15"/>
      <c r="V182" s="11"/>
      <c r="W182" s="11"/>
      <c r="X182" s="11"/>
      <c r="Y182" s="11"/>
      <c r="Z182" s="11"/>
    </row>
    <row r="183">
      <c r="A183" s="18"/>
      <c r="B183" s="11"/>
      <c r="C183" s="11"/>
      <c r="D183" s="11"/>
      <c r="E183" s="11"/>
      <c r="F183" s="11"/>
      <c r="G183" s="11"/>
      <c r="H183" s="11"/>
      <c r="I183" s="11"/>
      <c r="J183" s="11"/>
      <c r="K183" s="11"/>
      <c r="L183" s="15"/>
      <c r="M183" s="15"/>
      <c r="N183" s="15"/>
      <c r="O183" s="15"/>
      <c r="P183" s="15"/>
      <c r="Q183" s="11"/>
      <c r="R183" s="11"/>
      <c r="S183" s="11"/>
      <c r="T183" s="11"/>
      <c r="U183" s="15"/>
      <c r="V183" s="11"/>
      <c r="W183" s="11"/>
      <c r="X183" s="11"/>
      <c r="Y183" s="11"/>
      <c r="Z183" s="11"/>
    </row>
    <row r="184">
      <c r="A184" s="18"/>
      <c r="B184" s="11"/>
      <c r="C184" s="11"/>
      <c r="D184" s="11"/>
      <c r="E184" s="11"/>
      <c r="F184" s="11"/>
      <c r="G184" s="11"/>
      <c r="H184" s="11"/>
      <c r="I184" s="11"/>
      <c r="J184" s="11"/>
      <c r="K184" s="11"/>
      <c r="L184" s="15"/>
      <c r="M184" s="15"/>
      <c r="N184" s="15"/>
      <c r="O184" s="15"/>
      <c r="P184" s="15"/>
      <c r="Q184" s="11"/>
      <c r="R184" s="11"/>
      <c r="S184" s="11"/>
      <c r="T184" s="11"/>
      <c r="U184" s="15"/>
      <c r="V184" s="11"/>
      <c r="W184" s="11"/>
      <c r="X184" s="11"/>
      <c r="Y184" s="11"/>
      <c r="Z184" s="11"/>
    </row>
    <row r="185">
      <c r="A185" s="18"/>
      <c r="B185" s="11"/>
      <c r="C185" s="11"/>
      <c r="D185" s="11"/>
      <c r="E185" s="11"/>
      <c r="F185" s="11"/>
      <c r="G185" s="11"/>
      <c r="H185" s="11"/>
      <c r="I185" s="11"/>
      <c r="J185" s="11"/>
      <c r="K185" s="11"/>
      <c r="L185" s="15"/>
      <c r="M185" s="15"/>
      <c r="N185" s="15"/>
      <c r="O185" s="15"/>
      <c r="P185" s="15"/>
      <c r="Q185" s="11"/>
      <c r="R185" s="11"/>
      <c r="S185" s="11"/>
      <c r="T185" s="11"/>
      <c r="U185" s="15"/>
      <c r="V185" s="11"/>
      <c r="W185" s="11"/>
      <c r="X185" s="11"/>
      <c r="Y185" s="11"/>
      <c r="Z185" s="11"/>
    </row>
    <row r="186">
      <c r="A186" s="18"/>
      <c r="B186" s="11"/>
      <c r="C186" s="11"/>
      <c r="D186" s="11"/>
      <c r="E186" s="11"/>
      <c r="F186" s="11"/>
      <c r="G186" s="11"/>
      <c r="H186" s="11"/>
      <c r="I186" s="11"/>
      <c r="J186" s="11"/>
      <c r="K186" s="11"/>
      <c r="L186" s="15"/>
      <c r="M186" s="15"/>
      <c r="N186" s="15"/>
      <c r="O186" s="15"/>
      <c r="P186" s="15"/>
      <c r="Q186" s="11"/>
      <c r="R186" s="11"/>
      <c r="S186" s="11"/>
      <c r="T186" s="11"/>
      <c r="U186" s="15"/>
      <c r="V186" s="11"/>
      <c r="W186" s="11"/>
      <c r="X186" s="11"/>
      <c r="Y186" s="11"/>
      <c r="Z186" s="11"/>
    </row>
    <row r="187">
      <c r="A187" s="18"/>
      <c r="B187" s="11"/>
      <c r="C187" s="11"/>
      <c r="D187" s="11"/>
      <c r="E187" s="11"/>
      <c r="F187" s="11"/>
      <c r="G187" s="11"/>
      <c r="H187" s="11"/>
      <c r="I187" s="11"/>
      <c r="J187" s="11"/>
      <c r="K187" s="11"/>
      <c r="L187" s="15"/>
      <c r="M187" s="15"/>
      <c r="N187" s="15"/>
      <c r="O187" s="15"/>
      <c r="P187" s="15"/>
      <c r="Q187" s="11"/>
      <c r="R187" s="11"/>
      <c r="S187" s="11"/>
      <c r="T187" s="11"/>
      <c r="U187" s="15"/>
      <c r="V187" s="11"/>
      <c r="W187" s="11"/>
      <c r="X187" s="11"/>
      <c r="Y187" s="11"/>
      <c r="Z187" s="11"/>
    </row>
    <row r="188">
      <c r="A188" s="18"/>
      <c r="B188" s="11"/>
      <c r="C188" s="11"/>
      <c r="D188" s="11"/>
      <c r="E188" s="11"/>
      <c r="F188" s="11"/>
      <c r="G188" s="11"/>
      <c r="H188" s="11"/>
      <c r="I188" s="11"/>
      <c r="J188" s="11"/>
      <c r="K188" s="11"/>
      <c r="L188" s="15"/>
      <c r="M188" s="15"/>
      <c r="N188" s="15"/>
      <c r="O188" s="15"/>
      <c r="P188" s="15"/>
      <c r="Q188" s="11"/>
      <c r="R188" s="11"/>
      <c r="S188" s="11"/>
      <c r="T188" s="11"/>
      <c r="U188" s="15"/>
      <c r="V188" s="11"/>
      <c r="W188" s="11"/>
      <c r="X188" s="11"/>
      <c r="Y188" s="11"/>
      <c r="Z188" s="11"/>
    </row>
    <row r="189">
      <c r="A189" s="18"/>
      <c r="B189" s="11"/>
      <c r="C189" s="11"/>
      <c r="D189" s="11"/>
      <c r="E189" s="11"/>
      <c r="F189" s="11"/>
      <c r="G189" s="11"/>
      <c r="H189" s="11"/>
      <c r="I189" s="11"/>
      <c r="J189" s="11"/>
      <c r="K189" s="11"/>
      <c r="L189" s="15"/>
      <c r="M189" s="15"/>
      <c r="N189" s="15"/>
      <c r="O189" s="15"/>
      <c r="P189" s="15"/>
      <c r="Q189" s="11"/>
      <c r="R189" s="11"/>
      <c r="S189" s="11"/>
      <c r="T189" s="11"/>
      <c r="U189" s="15"/>
      <c r="V189" s="11"/>
      <c r="W189" s="11"/>
      <c r="X189" s="11"/>
      <c r="Y189" s="11"/>
      <c r="Z189" s="11"/>
    </row>
    <row r="190">
      <c r="A190" s="18"/>
      <c r="B190" s="11"/>
      <c r="C190" s="11"/>
      <c r="D190" s="11"/>
      <c r="E190" s="11"/>
      <c r="F190" s="11"/>
      <c r="G190" s="11"/>
      <c r="H190" s="11"/>
      <c r="I190" s="11"/>
      <c r="J190" s="11"/>
      <c r="K190" s="11"/>
      <c r="L190" s="15"/>
      <c r="M190" s="15"/>
      <c r="N190" s="15"/>
      <c r="O190" s="15"/>
      <c r="P190" s="15"/>
      <c r="Q190" s="11"/>
      <c r="R190" s="11"/>
      <c r="S190" s="11"/>
      <c r="T190" s="11"/>
      <c r="U190" s="15"/>
      <c r="V190" s="11"/>
      <c r="W190" s="11"/>
      <c r="X190" s="11"/>
      <c r="Y190" s="11"/>
      <c r="Z190" s="11"/>
    </row>
    <row r="191">
      <c r="A191" s="18"/>
      <c r="B191" s="11"/>
      <c r="C191" s="11"/>
      <c r="D191" s="11"/>
      <c r="E191" s="11"/>
      <c r="F191" s="11"/>
      <c r="G191" s="11"/>
      <c r="H191" s="11"/>
      <c r="I191" s="11"/>
      <c r="J191" s="11"/>
      <c r="K191" s="11"/>
      <c r="L191" s="15"/>
      <c r="M191" s="15"/>
      <c r="N191" s="15"/>
      <c r="O191" s="15"/>
      <c r="P191" s="15"/>
      <c r="Q191" s="11"/>
      <c r="R191" s="11"/>
      <c r="S191" s="11"/>
      <c r="T191" s="11"/>
      <c r="U191" s="15"/>
      <c r="V191" s="11"/>
      <c r="W191" s="11"/>
      <c r="X191" s="11"/>
      <c r="Y191" s="11"/>
      <c r="Z191" s="11"/>
    </row>
    <row r="192">
      <c r="A192" s="18"/>
      <c r="B192" s="11"/>
      <c r="C192" s="11"/>
      <c r="D192" s="11"/>
      <c r="E192" s="11"/>
      <c r="F192" s="11"/>
      <c r="G192" s="11"/>
      <c r="H192" s="11"/>
      <c r="I192" s="11"/>
      <c r="J192" s="11"/>
      <c r="K192" s="11"/>
      <c r="L192" s="15"/>
      <c r="M192" s="15"/>
      <c r="N192" s="15"/>
      <c r="O192" s="15"/>
      <c r="P192" s="15"/>
      <c r="Q192" s="11"/>
      <c r="R192" s="11"/>
      <c r="S192" s="11"/>
      <c r="T192" s="11"/>
      <c r="U192" s="15"/>
      <c r="V192" s="11"/>
      <c r="W192" s="11"/>
      <c r="X192" s="11"/>
      <c r="Y192" s="11"/>
      <c r="Z192" s="11"/>
    </row>
    <row r="193">
      <c r="A193" s="18"/>
      <c r="B193" s="11"/>
      <c r="C193" s="11"/>
      <c r="D193" s="11"/>
      <c r="E193" s="11"/>
      <c r="F193" s="11"/>
      <c r="G193" s="11"/>
      <c r="H193" s="11"/>
      <c r="I193" s="11"/>
      <c r="J193" s="11"/>
      <c r="K193" s="11"/>
      <c r="L193" s="15"/>
      <c r="M193" s="15"/>
      <c r="N193" s="15"/>
      <c r="O193" s="15"/>
      <c r="P193" s="15"/>
      <c r="Q193" s="11"/>
      <c r="R193" s="11"/>
      <c r="S193" s="11"/>
      <c r="T193" s="11"/>
      <c r="U193" s="15"/>
      <c r="V193" s="11"/>
      <c r="W193" s="11"/>
      <c r="X193" s="11"/>
      <c r="Y193" s="11"/>
      <c r="Z193" s="11"/>
    </row>
    <row r="194">
      <c r="A194" s="18"/>
      <c r="B194" s="11"/>
      <c r="C194" s="11"/>
      <c r="D194" s="11"/>
      <c r="E194" s="11"/>
      <c r="F194" s="11"/>
      <c r="G194" s="11"/>
      <c r="H194" s="11"/>
      <c r="I194" s="11"/>
      <c r="J194" s="11"/>
      <c r="K194" s="11"/>
      <c r="L194" s="15"/>
      <c r="M194" s="15"/>
      <c r="N194" s="15"/>
      <c r="O194" s="15"/>
      <c r="P194" s="15"/>
      <c r="Q194" s="11"/>
      <c r="R194" s="11"/>
      <c r="S194" s="11"/>
      <c r="T194" s="11"/>
      <c r="U194" s="15"/>
      <c r="V194" s="11"/>
      <c r="W194" s="11"/>
      <c r="X194" s="11"/>
      <c r="Y194" s="11"/>
      <c r="Z194" s="11"/>
    </row>
    <row r="195">
      <c r="A195" s="18"/>
      <c r="B195" s="11"/>
      <c r="C195" s="11"/>
      <c r="D195" s="11"/>
      <c r="E195" s="11"/>
      <c r="F195" s="11"/>
      <c r="G195" s="11"/>
      <c r="H195" s="11"/>
      <c r="I195" s="11"/>
      <c r="J195" s="11"/>
      <c r="K195" s="11"/>
      <c r="L195" s="15"/>
      <c r="M195" s="15"/>
      <c r="N195" s="15"/>
      <c r="O195" s="15"/>
      <c r="P195" s="15"/>
      <c r="Q195" s="11"/>
      <c r="R195" s="11"/>
      <c r="S195" s="11"/>
      <c r="T195" s="11"/>
      <c r="U195" s="15"/>
      <c r="V195" s="11"/>
      <c r="W195" s="11"/>
      <c r="X195" s="11"/>
      <c r="Y195" s="11"/>
      <c r="Z195" s="11"/>
    </row>
    <row r="196">
      <c r="A196" s="18"/>
      <c r="B196" s="11"/>
      <c r="C196" s="11"/>
      <c r="D196" s="11"/>
      <c r="E196" s="11"/>
      <c r="F196" s="11"/>
      <c r="G196" s="11"/>
      <c r="H196" s="11"/>
      <c r="I196" s="11"/>
      <c r="J196" s="11"/>
      <c r="K196" s="11"/>
      <c r="L196" s="15"/>
      <c r="M196" s="15"/>
      <c r="N196" s="15"/>
      <c r="O196" s="15"/>
      <c r="P196" s="15"/>
      <c r="Q196" s="11"/>
      <c r="R196" s="11"/>
      <c r="S196" s="11"/>
      <c r="T196" s="11"/>
      <c r="U196" s="15"/>
      <c r="V196" s="11"/>
      <c r="W196" s="11"/>
      <c r="X196" s="11"/>
      <c r="Y196" s="11"/>
      <c r="Z196" s="11"/>
    </row>
    <row r="197">
      <c r="A197" s="18"/>
      <c r="B197" s="11"/>
      <c r="C197" s="11"/>
      <c r="D197" s="11"/>
      <c r="E197" s="11"/>
      <c r="F197" s="11"/>
      <c r="G197" s="11"/>
      <c r="H197" s="11"/>
      <c r="I197" s="11"/>
      <c r="J197" s="11"/>
      <c r="K197" s="11"/>
      <c r="L197" s="15"/>
      <c r="M197" s="15"/>
      <c r="N197" s="15"/>
      <c r="O197" s="15"/>
      <c r="P197" s="15"/>
      <c r="Q197" s="11"/>
      <c r="R197" s="11"/>
      <c r="S197" s="11"/>
      <c r="T197" s="11"/>
      <c r="U197" s="15"/>
      <c r="V197" s="11"/>
      <c r="W197" s="11"/>
      <c r="X197" s="11"/>
      <c r="Y197" s="11"/>
      <c r="Z197" s="11"/>
    </row>
    <row r="198">
      <c r="A198" s="18"/>
      <c r="B198" s="11"/>
      <c r="C198" s="11"/>
      <c r="D198" s="11"/>
      <c r="E198" s="11"/>
      <c r="F198" s="11"/>
      <c r="G198" s="11"/>
      <c r="H198" s="11"/>
      <c r="I198" s="11"/>
      <c r="J198" s="11"/>
      <c r="K198" s="11"/>
      <c r="L198" s="15"/>
      <c r="M198" s="15"/>
      <c r="N198" s="15"/>
      <c r="O198" s="15"/>
      <c r="P198" s="15"/>
      <c r="Q198" s="11"/>
      <c r="R198" s="11"/>
      <c r="S198" s="11"/>
      <c r="T198" s="11"/>
      <c r="U198" s="15"/>
      <c r="V198" s="11"/>
      <c r="W198" s="11"/>
      <c r="X198" s="11"/>
      <c r="Y198" s="11"/>
      <c r="Z198" s="11"/>
    </row>
    <row r="199">
      <c r="A199" s="18"/>
      <c r="B199" s="11"/>
      <c r="C199" s="11"/>
      <c r="D199" s="11"/>
      <c r="E199" s="11"/>
      <c r="F199" s="11"/>
      <c r="G199" s="11"/>
      <c r="H199" s="11"/>
      <c r="I199" s="11"/>
      <c r="J199" s="11"/>
      <c r="K199" s="11"/>
      <c r="L199" s="15"/>
      <c r="M199" s="15"/>
      <c r="N199" s="15"/>
      <c r="O199" s="15"/>
      <c r="P199" s="15"/>
      <c r="Q199" s="11"/>
      <c r="R199" s="11"/>
      <c r="S199" s="11"/>
      <c r="T199" s="11"/>
      <c r="U199" s="15"/>
      <c r="V199" s="11"/>
      <c r="W199" s="11"/>
      <c r="X199" s="11"/>
      <c r="Y199" s="11"/>
      <c r="Z199" s="11"/>
    </row>
    <row r="200">
      <c r="A200" s="18"/>
      <c r="B200" s="11"/>
      <c r="C200" s="11"/>
      <c r="D200" s="11"/>
      <c r="E200" s="11"/>
      <c r="F200" s="11"/>
      <c r="G200" s="11"/>
      <c r="H200" s="11"/>
      <c r="I200" s="11"/>
      <c r="J200" s="11"/>
      <c r="K200" s="11"/>
      <c r="L200" s="15"/>
      <c r="M200" s="15"/>
      <c r="N200" s="15"/>
      <c r="O200" s="15"/>
      <c r="P200" s="15"/>
      <c r="Q200" s="11"/>
      <c r="R200" s="11"/>
      <c r="S200" s="11"/>
      <c r="T200" s="11"/>
      <c r="U200" s="15"/>
      <c r="V200" s="11"/>
      <c r="W200" s="11"/>
      <c r="X200" s="11"/>
      <c r="Y200" s="11"/>
      <c r="Z200" s="11"/>
    </row>
    <row r="201">
      <c r="A201" s="18"/>
      <c r="B201" s="11"/>
      <c r="C201" s="11"/>
      <c r="D201" s="11"/>
      <c r="E201" s="11"/>
      <c r="F201" s="11"/>
      <c r="G201" s="11"/>
      <c r="H201" s="11"/>
      <c r="I201" s="11"/>
      <c r="J201" s="11"/>
      <c r="K201" s="11"/>
      <c r="L201" s="15"/>
      <c r="M201" s="15"/>
      <c r="N201" s="15"/>
      <c r="O201" s="15"/>
      <c r="P201" s="15"/>
      <c r="Q201" s="11"/>
      <c r="R201" s="11"/>
      <c r="S201" s="11"/>
      <c r="T201" s="11"/>
      <c r="U201" s="15"/>
      <c r="V201" s="11"/>
      <c r="W201" s="11"/>
      <c r="X201" s="11"/>
      <c r="Y201" s="11"/>
      <c r="Z201" s="11"/>
    </row>
    <row r="202">
      <c r="A202" s="18"/>
      <c r="B202" s="11"/>
      <c r="C202" s="11"/>
      <c r="D202" s="11"/>
      <c r="E202" s="11"/>
      <c r="F202" s="11"/>
      <c r="G202" s="11"/>
      <c r="H202" s="11"/>
      <c r="I202" s="11"/>
      <c r="J202" s="11"/>
      <c r="K202" s="11"/>
      <c r="L202" s="15"/>
      <c r="M202" s="15"/>
      <c r="N202" s="15"/>
      <c r="O202" s="15"/>
      <c r="P202" s="15"/>
      <c r="Q202" s="11"/>
      <c r="R202" s="11"/>
      <c r="S202" s="11"/>
      <c r="T202" s="11"/>
      <c r="U202" s="15"/>
      <c r="V202" s="11"/>
      <c r="W202" s="11"/>
      <c r="X202" s="11"/>
      <c r="Y202" s="11"/>
      <c r="Z202" s="11"/>
    </row>
    <row r="203">
      <c r="A203" s="18"/>
      <c r="B203" s="11"/>
      <c r="C203" s="11"/>
      <c r="D203" s="11"/>
      <c r="E203" s="11"/>
      <c r="F203" s="11"/>
      <c r="G203" s="11"/>
      <c r="H203" s="11"/>
      <c r="I203" s="11"/>
      <c r="J203" s="11"/>
      <c r="K203" s="11"/>
      <c r="L203" s="15"/>
      <c r="M203" s="15"/>
      <c r="N203" s="15"/>
      <c r="O203" s="15"/>
      <c r="P203" s="15"/>
      <c r="Q203" s="11"/>
      <c r="R203" s="11"/>
      <c r="S203" s="11"/>
      <c r="T203" s="11"/>
      <c r="U203" s="15"/>
      <c r="V203" s="11"/>
      <c r="W203" s="11"/>
      <c r="X203" s="11"/>
      <c r="Y203" s="11"/>
      <c r="Z203" s="11"/>
    </row>
    <row r="204">
      <c r="A204" s="18"/>
      <c r="B204" s="11"/>
      <c r="C204" s="11"/>
      <c r="D204" s="11"/>
      <c r="E204" s="11"/>
      <c r="F204" s="11"/>
      <c r="G204" s="11"/>
      <c r="H204" s="11"/>
      <c r="I204" s="11"/>
      <c r="J204" s="11"/>
      <c r="K204" s="11"/>
      <c r="L204" s="15"/>
      <c r="M204" s="15"/>
      <c r="N204" s="15"/>
      <c r="O204" s="15"/>
      <c r="P204" s="15"/>
      <c r="Q204" s="11"/>
      <c r="R204" s="11"/>
      <c r="S204" s="11"/>
      <c r="T204" s="11"/>
      <c r="U204" s="15"/>
      <c r="V204" s="11"/>
      <c r="W204" s="11"/>
      <c r="X204" s="11"/>
      <c r="Y204" s="11"/>
      <c r="Z204" s="11"/>
    </row>
    <row r="205">
      <c r="A205" s="18"/>
      <c r="B205" s="11"/>
      <c r="C205" s="11"/>
      <c r="D205" s="11"/>
      <c r="E205" s="11"/>
      <c r="F205" s="11"/>
      <c r="G205" s="11"/>
      <c r="H205" s="11"/>
      <c r="I205" s="11"/>
      <c r="J205" s="11"/>
      <c r="K205" s="11"/>
      <c r="L205" s="15"/>
      <c r="M205" s="15"/>
      <c r="N205" s="15"/>
      <c r="O205" s="15"/>
      <c r="P205" s="15"/>
      <c r="Q205" s="11"/>
      <c r="R205" s="11"/>
      <c r="S205" s="11"/>
      <c r="T205" s="11"/>
      <c r="U205" s="15"/>
      <c r="V205" s="11"/>
      <c r="W205" s="11"/>
      <c r="X205" s="11"/>
      <c r="Y205" s="11"/>
      <c r="Z205" s="11"/>
    </row>
    <row r="206">
      <c r="A206" s="18"/>
      <c r="B206" s="11"/>
      <c r="C206" s="11"/>
      <c r="D206" s="11"/>
      <c r="E206" s="11"/>
      <c r="F206" s="11"/>
      <c r="G206" s="11"/>
      <c r="H206" s="11"/>
      <c r="I206" s="11"/>
      <c r="J206" s="11"/>
      <c r="K206" s="11"/>
      <c r="L206" s="15"/>
      <c r="M206" s="15"/>
      <c r="N206" s="15"/>
      <c r="O206" s="15"/>
      <c r="P206" s="15"/>
      <c r="Q206" s="11"/>
      <c r="R206" s="11"/>
      <c r="S206" s="11"/>
      <c r="T206" s="11"/>
      <c r="U206" s="15"/>
      <c r="V206" s="11"/>
      <c r="W206" s="11"/>
      <c r="X206" s="11"/>
      <c r="Y206" s="11"/>
      <c r="Z206" s="11"/>
    </row>
    <row r="207">
      <c r="A207" s="18"/>
      <c r="B207" s="11"/>
      <c r="C207" s="11"/>
      <c r="D207" s="11"/>
      <c r="E207" s="11"/>
      <c r="F207" s="11"/>
      <c r="G207" s="11"/>
      <c r="H207" s="11"/>
      <c r="I207" s="11"/>
      <c r="J207" s="11"/>
      <c r="K207" s="11"/>
      <c r="L207" s="15"/>
      <c r="M207" s="15"/>
      <c r="N207" s="15"/>
      <c r="O207" s="15"/>
      <c r="P207" s="15"/>
      <c r="Q207" s="11"/>
      <c r="R207" s="11"/>
      <c r="S207" s="11"/>
      <c r="T207" s="11"/>
      <c r="U207" s="15"/>
      <c r="V207" s="11"/>
      <c r="W207" s="11"/>
      <c r="X207" s="11"/>
      <c r="Y207" s="11"/>
      <c r="Z207" s="11"/>
    </row>
    <row r="208">
      <c r="A208" s="18"/>
      <c r="B208" s="11"/>
      <c r="C208" s="11"/>
      <c r="D208" s="11"/>
      <c r="E208" s="11"/>
      <c r="F208" s="11"/>
      <c r="G208" s="11"/>
      <c r="H208" s="11"/>
      <c r="I208" s="11"/>
      <c r="J208" s="11"/>
      <c r="K208" s="11"/>
      <c r="L208" s="15"/>
      <c r="M208" s="15"/>
      <c r="N208" s="15"/>
      <c r="O208" s="15"/>
      <c r="P208" s="15"/>
      <c r="Q208" s="11"/>
      <c r="R208" s="11"/>
      <c r="S208" s="11"/>
      <c r="T208" s="11"/>
      <c r="U208" s="15"/>
      <c r="V208" s="11"/>
      <c r="W208" s="11"/>
      <c r="X208" s="11"/>
      <c r="Y208" s="11"/>
      <c r="Z208" s="11"/>
    </row>
    <row r="209">
      <c r="A209" s="18"/>
      <c r="B209" s="11"/>
      <c r="C209" s="11"/>
      <c r="D209" s="11"/>
      <c r="E209" s="11"/>
      <c r="F209" s="11"/>
      <c r="G209" s="11"/>
      <c r="H209" s="11"/>
      <c r="I209" s="11"/>
      <c r="J209" s="11"/>
      <c r="K209" s="11"/>
      <c r="L209" s="15"/>
      <c r="M209" s="15"/>
      <c r="N209" s="15"/>
      <c r="O209" s="15"/>
      <c r="P209" s="15"/>
      <c r="Q209" s="11"/>
      <c r="R209" s="11"/>
      <c r="S209" s="11"/>
      <c r="T209" s="11"/>
      <c r="U209" s="15"/>
      <c r="V209" s="11"/>
      <c r="W209" s="11"/>
      <c r="X209" s="11"/>
      <c r="Y209" s="11"/>
      <c r="Z209" s="11"/>
    </row>
    <row r="210">
      <c r="A210" s="18"/>
      <c r="B210" s="11"/>
      <c r="C210" s="11"/>
      <c r="D210" s="11"/>
      <c r="E210" s="11"/>
      <c r="F210" s="11"/>
      <c r="G210" s="11"/>
      <c r="H210" s="11"/>
      <c r="I210" s="11"/>
      <c r="J210" s="11"/>
      <c r="K210" s="11"/>
      <c r="L210" s="15"/>
      <c r="M210" s="15"/>
      <c r="N210" s="15"/>
      <c r="O210" s="15"/>
      <c r="P210" s="15"/>
      <c r="Q210" s="11"/>
      <c r="R210" s="11"/>
      <c r="S210" s="11"/>
      <c r="T210" s="11"/>
      <c r="U210" s="15"/>
      <c r="V210" s="11"/>
      <c r="W210" s="11"/>
      <c r="X210" s="11"/>
      <c r="Y210" s="11"/>
      <c r="Z210" s="11"/>
    </row>
    <row r="211">
      <c r="A211" s="18"/>
      <c r="B211" s="11"/>
      <c r="C211" s="11"/>
      <c r="D211" s="11"/>
      <c r="E211" s="11"/>
      <c r="F211" s="11"/>
      <c r="G211" s="11"/>
      <c r="H211" s="11"/>
      <c r="I211" s="11"/>
      <c r="J211" s="11"/>
      <c r="K211" s="11"/>
      <c r="L211" s="15"/>
      <c r="M211" s="15"/>
      <c r="N211" s="15"/>
      <c r="O211" s="15"/>
      <c r="P211" s="15"/>
      <c r="Q211" s="11"/>
      <c r="R211" s="11"/>
      <c r="S211" s="11"/>
      <c r="T211" s="11"/>
      <c r="U211" s="15"/>
      <c r="V211" s="11"/>
      <c r="W211" s="11"/>
      <c r="X211" s="11"/>
      <c r="Y211" s="11"/>
      <c r="Z211" s="11"/>
    </row>
    <row r="212">
      <c r="A212" s="18"/>
      <c r="B212" s="11"/>
      <c r="C212" s="11"/>
      <c r="D212" s="11"/>
      <c r="E212" s="11"/>
      <c r="F212" s="11"/>
      <c r="G212" s="11"/>
      <c r="H212" s="11"/>
      <c r="I212" s="11"/>
      <c r="J212" s="11"/>
      <c r="K212" s="11"/>
      <c r="L212" s="15"/>
      <c r="M212" s="15"/>
      <c r="N212" s="15"/>
      <c r="O212" s="15"/>
      <c r="P212" s="15"/>
      <c r="Q212" s="11"/>
      <c r="R212" s="11"/>
      <c r="S212" s="11"/>
      <c r="T212" s="11"/>
      <c r="U212" s="15"/>
      <c r="V212" s="11"/>
      <c r="W212" s="11"/>
      <c r="X212" s="11"/>
      <c r="Y212" s="11"/>
      <c r="Z212" s="11"/>
    </row>
    <row r="213">
      <c r="A213" s="18"/>
      <c r="B213" s="11"/>
      <c r="C213" s="11"/>
      <c r="D213" s="11"/>
      <c r="E213" s="11"/>
      <c r="F213" s="11"/>
      <c r="G213" s="11"/>
      <c r="H213" s="11"/>
      <c r="I213" s="11"/>
      <c r="J213" s="11"/>
      <c r="K213" s="11"/>
      <c r="L213" s="15"/>
      <c r="M213" s="15"/>
      <c r="N213" s="15"/>
      <c r="O213" s="15"/>
      <c r="P213" s="15"/>
      <c r="Q213" s="11"/>
      <c r="R213" s="11"/>
      <c r="S213" s="11"/>
      <c r="T213" s="11"/>
      <c r="U213" s="15"/>
      <c r="V213" s="11"/>
      <c r="W213" s="11"/>
      <c r="X213" s="11"/>
      <c r="Y213" s="11"/>
      <c r="Z213" s="11"/>
    </row>
    <row r="214">
      <c r="A214" s="18"/>
      <c r="B214" s="11"/>
      <c r="C214" s="11"/>
      <c r="D214" s="11"/>
      <c r="E214" s="11"/>
      <c r="F214" s="11"/>
      <c r="G214" s="11"/>
      <c r="H214" s="11"/>
      <c r="I214" s="11"/>
      <c r="J214" s="11"/>
      <c r="K214" s="11"/>
      <c r="L214" s="15"/>
      <c r="M214" s="15"/>
      <c r="N214" s="15"/>
      <c r="O214" s="15"/>
      <c r="P214" s="15"/>
      <c r="Q214" s="11"/>
      <c r="R214" s="11"/>
      <c r="S214" s="11"/>
      <c r="T214" s="11"/>
      <c r="U214" s="15"/>
      <c r="V214" s="11"/>
      <c r="W214" s="11"/>
      <c r="X214" s="11"/>
      <c r="Y214" s="11"/>
      <c r="Z214" s="11"/>
    </row>
    <row r="215">
      <c r="A215" s="18"/>
      <c r="B215" s="11"/>
      <c r="C215" s="11"/>
      <c r="D215" s="11"/>
      <c r="E215" s="11"/>
      <c r="F215" s="11"/>
      <c r="G215" s="11"/>
      <c r="H215" s="11"/>
      <c r="I215" s="11"/>
      <c r="J215" s="11"/>
      <c r="K215" s="11"/>
      <c r="L215" s="15"/>
      <c r="M215" s="15"/>
      <c r="N215" s="15"/>
      <c r="O215" s="15"/>
      <c r="P215" s="15"/>
      <c r="Q215" s="11"/>
      <c r="R215" s="11"/>
      <c r="S215" s="11"/>
      <c r="T215" s="11"/>
      <c r="U215" s="15"/>
      <c r="V215" s="11"/>
      <c r="W215" s="11"/>
      <c r="X215" s="11"/>
      <c r="Y215" s="11"/>
      <c r="Z215" s="11"/>
    </row>
    <row r="216">
      <c r="A216" s="18"/>
      <c r="B216" s="11"/>
      <c r="C216" s="11"/>
      <c r="D216" s="11"/>
      <c r="E216" s="11"/>
      <c r="F216" s="11"/>
      <c r="G216" s="11"/>
      <c r="H216" s="11"/>
      <c r="I216" s="11"/>
      <c r="J216" s="11"/>
      <c r="K216" s="11"/>
      <c r="L216" s="15"/>
      <c r="M216" s="15"/>
      <c r="N216" s="15"/>
      <c r="O216" s="15"/>
      <c r="P216" s="15"/>
      <c r="Q216" s="11"/>
      <c r="R216" s="11"/>
      <c r="S216" s="11"/>
      <c r="T216" s="11"/>
      <c r="U216" s="15"/>
      <c r="V216" s="11"/>
      <c r="W216" s="11"/>
      <c r="X216" s="11"/>
      <c r="Y216" s="11"/>
      <c r="Z216" s="11"/>
    </row>
    <row r="217">
      <c r="A217" s="18"/>
      <c r="B217" s="11"/>
      <c r="C217" s="11"/>
      <c r="D217" s="11"/>
      <c r="E217" s="11"/>
      <c r="F217" s="11"/>
      <c r="G217" s="11"/>
      <c r="H217" s="11"/>
      <c r="I217" s="11"/>
      <c r="J217" s="11"/>
      <c r="K217" s="11"/>
      <c r="L217" s="15"/>
      <c r="M217" s="15"/>
      <c r="N217" s="15"/>
      <c r="O217" s="15"/>
      <c r="P217" s="15"/>
      <c r="Q217" s="11"/>
      <c r="R217" s="11"/>
      <c r="S217" s="11"/>
      <c r="T217" s="11"/>
      <c r="U217" s="15"/>
      <c r="V217" s="11"/>
      <c r="W217" s="11"/>
      <c r="X217" s="11"/>
      <c r="Y217" s="11"/>
      <c r="Z217" s="11"/>
    </row>
    <row r="218">
      <c r="A218" s="18"/>
      <c r="B218" s="11"/>
      <c r="C218" s="11"/>
      <c r="D218" s="11"/>
      <c r="E218" s="11"/>
      <c r="F218" s="11"/>
      <c r="G218" s="11"/>
      <c r="H218" s="11"/>
      <c r="I218" s="11"/>
      <c r="J218" s="11"/>
      <c r="K218" s="11"/>
      <c r="L218" s="15"/>
      <c r="M218" s="15"/>
      <c r="N218" s="15"/>
      <c r="O218" s="15"/>
      <c r="P218" s="15"/>
      <c r="Q218" s="11"/>
      <c r="R218" s="11"/>
      <c r="S218" s="11"/>
      <c r="T218" s="11"/>
      <c r="U218" s="15"/>
      <c r="V218" s="11"/>
      <c r="W218" s="11"/>
      <c r="X218" s="11"/>
      <c r="Y218" s="11"/>
      <c r="Z218" s="11"/>
    </row>
    <row r="219">
      <c r="A219" s="18"/>
      <c r="B219" s="11"/>
      <c r="C219" s="11"/>
      <c r="D219" s="11"/>
      <c r="E219" s="11"/>
      <c r="F219" s="11"/>
      <c r="G219" s="11"/>
      <c r="H219" s="11"/>
      <c r="I219" s="11"/>
      <c r="J219" s="11"/>
      <c r="K219" s="11"/>
      <c r="L219" s="15"/>
      <c r="M219" s="15"/>
      <c r="N219" s="15"/>
      <c r="O219" s="15"/>
      <c r="P219" s="15"/>
      <c r="Q219" s="11"/>
      <c r="R219" s="11"/>
      <c r="S219" s="11"/>
      <c r="T219" s="11"/>
      <c r="U219" s="15"/>
      <c r="V219" s="11"/>
      <c r="W219" s="11"/>
      <c r="X219" s="11"/>
      <c r="Y219" s="11"/>
      <c r="Z219" s="11"/>
    </row>
    <row r="220">
      <c r="A220" s="18"/>
      <c r="B220" s="11"/>
      <c r="C220" s="11"/>
      <c r="D220" s="11"/>
      <c r="E220" s="11"/>
      <c r="F220" s="11"/>
      <c r="G220" s="11"/>
      <c r="H220" s="11"/>
      <c r="I220" s="11"/>
      <c r="J220" s="11"/>
      <c r="K220" s="11"/>
      <c r="L220" s="15"/>
      <c r="M220" s="15"/>
      <c r="N220" s="15"/>
      <c r="O220" s="15"/>
      <c r="P220" s="15"/>
      <c r="Q220" s="11"/>
      <c r="R220" s="11"/>
      <c r="S220" s="11"/>
      <c r="T220" s="11"/>
      <c r="U220" s="15"/>
      <c r="V220" s="11"/>
      <c r="W220" s="11"/>
      <c r="X220" s="11"/>
      <c r="Y220" s="11"/>
      <c r="Z220" s="11"/>
    </row>
    <row r="221">
      <c r="A221" s="18"/>
      <c r="B221" s="11"/>
      <c r="C221" s="11"/>
      <c r="D221" s="11"/>
      <c r="E221" s="11"/>
      <c r="F221" s="11"/>
      <c r="G221" s="11"/>
      <c r="H221" s="11"/>
      <c r="I221" s="11"/>
      <c r="J221" s="11"/>
      <c r="K221" s="11"/>
      <c r="L221" s="15"/>
      <c r="M221" s="15"/>
      <c r="N221" s="15"/>
      <c r="O221" s="15"/>
      <c r="P221" s="15"/>
      <c r="Q221" s="11"/>
      <c r="R221" s="11"/>
      <c r="S221" s="11"/>
      <c r="T221" s="11"/>
      <c r="U221" s="15"/>
      <c r="V221" s="11"/>
      <c r="W221" s="11"/>
      <c r="X221" s="11"/>
      <c r="Y221" s="11"/>
      <c r="Z221" s="11"/>
    </row>
    <row r="222">
      <c r="A222" s="18"/>
      <c r="B222" s="11"/>
      <c r="C222" s="11"/>
      <c r="D222" s="11"/>
      <c r="E222" s="11"/>
      <c r="F222" s="11"/>
      <c r="G222" s="11"/>
      <c r="H222" s="11"/>
      <c r="I222" s="11"/>
      <c r="J222" s="11"/>
      <c r="K222" s="11"/>
      <c r="L222" s="15"/>
      <c r="M222" s="15"/>
      <c r="N222" s="15"/>
      <c r="O222" s="15"/>
      <c r="P222" s="15"/>
      <c r="Q222" s="11"/>
      <c r="R222" s="11"/>
      <c r="S222" s="11"/>
      <c r="T222" s="11"/>
      <c r="U222" s="15"/>
      <c r="V222" s="11"/>
      <c r="W222" s="11"/>
      <c r="X222" s="11"/>
      <c r="Y222" s="11"/>
      <c r="Z222" s="11"/>
    </row>
    <row r="223">
      <c r="A223" s="18"/>
      <c r="B223" s="11"/>
      <c r="C223" s="11"/>
      <c r="D223" s="11"/>
      <c r="E223" s="11"/>
      <c r="F223" s="11"/>
      <c r="G223" s="11"/>
      <c r="H223" s="11"/>
      <c r="I223" s="11"/>
      <c r="J223" s="11"/>
      <c r="K223" s="11"/>
      <c r="L223" s="15"/>
      <c r="M223" s="15"/>
      <c r="N223" s="15"/>
      <c r="O223" s="15"/>
      <c r="P223" s="15"/>
      <c r="Q223" s="11"/>
      <c r="R223" s="11"/>
      <c r="S223" s="11"/>
      <c r="T223" s="11"/>
      <c r="U223" s="15"/>
      <c r="V223" s="11"/>
      <c r="W223" s="11"/>
      <c r="X223" s="11"/>
      <c r="Y223" s="11"/>
      <c r="Z223" s="11"/>
    </row>
    <row r="224">
      <c r="A224" s="18"/>
      <c r="B224" s="11"/>
      <c r="C224" s="11"/>
      <c r="D224" s="11"/>
      <c r="E224" s="11"/>
      <c r="F224" s="11"/>
      <c r="G224" s="11"/>
      <c r="H224" s="11"/>
      <c r="I224" s="11"/>
      <c r="J224" s="11"/>
      <c r="K224" s="11"/>
      <c r="L224" s="15"/>
      <c r="M224" s="15"/>
      <c r="N224" s="15"/>
      <c r="O224" s="15"/>
      <c r="P224" s="15"/>
      <c r="Q224" s="11"/>
      <c r="R224" s="11"/>
      <c r="S224" s="11"/>
      <c r="T224" s="11"/>
      <c r="U224" s="15"/>
      <c r="V224" s="11"/>
      <c r="W224" s="11"/>
      <c r="X224" s="11"/>
      <c r="Y224" s="11"/>
      <c r="Z224" s="11"/>
    </row>
    <row r="225">
      <c r="A225" s="18"/>
      <c r="B225" s="11"/>
      <c r="C225" s="11"/>
      <c r="D225" s="11"/>
      <c r="E225" s="11"/>
      <c r="F225" s="11"/>
      <c r="G225" s="11"/>
      <c r="H225" s="11"/>
      <c r="I225" s="11"/>
      <c r="J225" s="11"/>
      <c r="K225" s="11"/>
      <c r="L225" s="15"/>
      <c r="M225" s="15"/>
      <c r="N225" s="15"/>
      <c r="O225" s="15"/>
      <c r="P225" s="15"/>
      <c r="Q225" s="11"/>
      <c r="R225" s="11"/>
      <c r="S225" s="11"/>
      <c r="T225" s="11"/>
      <c r="U225" s="15"/>
      <c r="V225" s="11"/>
      <c r="W225" s="11"/>
      <c r="X225" s="11"/>
      <c r="Y225" s="11"/>
      <c r="Z225" s="11"/>
    </row>
    <row r="226">
      <c r="A226" s="18"/>
      <c r="B226" s="11"/>
      <c r="C226" s="11"/>
      <c r="D226" s="11"/>
      <c r="E226" s="11"/>
      <c r="F226" s="11"/>
      <c r="G226" s="11"/>
      <c r="H226" s="11"/>
      <c r="I226" s="11"/>
      <c r="J226" s="11"/>
      <c r="K226" s="11"/>
      <c r="L226" s="15"/>
      <c r="M226" s="15"/>
      <c r="N226" s="15"/>
      <c r="O226" s="15"/>
      <c r="P226" s="15"/>
      <c r="Q226" s="11"/>
      <c r="R226" s="11"/>
      <c r="S226" s="11"/>
      <c r="T226" s="11"/>
      <c r="U226" s="15"/>
      <c r="V226" s="11"/>
      <c r="W226" s="11"/>
      <c r="X226" s="11"/>
      <c r="Y226" s="11"/>
      <c r="Z226" s="11"/>
    </row>
    <row r="227">
      <c r="A227" s="18"/>
      <c r="B227" s="11"/>
      <c r="C227" s="11"/>
      <c r="D227" s="11"/>
      <c r="E227" s="11"/>
      <c r="F227" s="11"/>
      <c r="G227" s="11"/>
      <c r="H227" s="11"/>
      <c r="I227" s="11"/>
      <c r="J227" s="11"/>
      <c r="K227" s="11"/>
      <c r="L227" s="15"/>
      <c r="M227" s="15"/>
      <c r="N227" s="15"/>
      <c r="O227" s="15"/>
      <c r="P227" s="15"/>
      <c r="Q227" s="11"/>
      <c r="R227" s="11"/>
      <c r="S227" s="11"/>
      <c r="T227" s="11"/>
      <c r="U227" s="15"/>
      <c r="V227" s="11"/>
      <c r="W227" s="11"/>
      <c r="X227" s="11"/>
      <c r="Y227" s="11"/>
      <c r="Z227" s="11"/>
    </row>
    <row r="228">
      <c r="A228" s="18"/>
      <c r="B228" s="11"/>
      <c r="C228" s="11"/>
      <c r="D228" s="11"/>
      <c r="E228" s="11"/>
      <c r="F228" s="11"/>
      <c r="G228" s="11"/>
      <c r="H228" s="11"/>
      <c r="I228" s="11"/>
      <c r="J228" s="11"/>
      <c r="K228" s="11"/>
      <c r="L228" s="15"/>
      <c r="M228" s="15"/>
      <c r="N228" s="15"/>
      <c r="O228" s="15"/>
      <c r="P228" s="15"/>
      <c r="Q228" s="11"/>
      <c r="R228" s="11"/>
      <c r="S228" s="11"/>
      <c r="T228" s="11"/>
      <c r="U228" s="15"/>
      <c r="V228" s="11"/>
      <c r="W228" s="11"/>
      <c r="X228" s="11"/>
      <c r="Y228" s="11"/>
      <c r="Z228" s="11"/>
    </row>
    <row r="229">
      <c r="A229" s="18"/>
      <c r="B229" s="11"/>
      <c r="C229" s="11"/>
      <c r="D229" s="11"/>
      <c r="E229" s="11"/>
      <c r="F229" s="11"/>
      <c r="G229" s="11"/>
      <c r="H229" s="11"/>
      <c r="I229" s="11"/>
      <c r="J229" s="11"/>
      <c r="K229" s="11"/>
      <c r="L229" s="15"/>
      <c r="M229" s="15"/>
      <c r="N229" s="15"/>
      <c r="O229" s="15"/>
      <c r="P229" s="15"/>
      <c r="Q229" s="11"/>
      <c r="R229" s="11"/>
      <c r="S229" s="11"/>
      <c r="T229" s="11"/>
      <c r="U229" s="15"/>
      <c r="V229" s="11"/>
      <c r="W229" s="11"/>
      <c r="X229" s="11"/>
      <c r="Y229" s="11"/>
      <c r="Z229" s="11"/>
    </row>
    <row r="230">
      <c r="A230" s="18"/>
      <c r="B230" s="11"/>
      <c r="C230" s="11"/>
      <c r="D230" s="11"/>
      <c r="E230" s="11"/>
      <c r="F230" s="11"/>
      <c r="G230" s="11"/>
      <c r="H230" s="11"/>
      <c r="I230" s="11"/>
      <c r="J230" s="11"/>
      <c r="K230" s="11"/>
      <c r="L230" s="15"/>
      <c r="M230" s="15"/>
      <c r="N230" s="15"/>
      <c r="O230" s="15"/>
      <c r="P230" s="15"/>
      <c r="Q230" s="11"/>
      <c r="R230" s="11"/>
      <c r="S230" s="11"/>
      <c r="T230" s="11"/>
      <c r="U230" s="15"/>
      <c r="V230" s="11"/>
      <c r="W230" s="11"/>
      <c r="X230" s="11"/>
      <c r="Y230" s="11"/>
      <c r="Z230" s="11"/>
    </row>
    <row r="231">
      <c r="A231" s="18"/>
      <c r="B231" s="11"/>
      <c r="C231" s="11"/>
      <c r="D231" s="11"/>
      <c r="E231" s="11"/>
      <c r="F231" s="11"/>
      <c r="G231" s="11"/>
      <c r="H231" s="11"/>
      <c r="I231" s="11"/>
      <c r="J231" s="11"/>
      <c r="K231" s="11"/>
      <c r="L231" s="15"/>
      <c r="M231" s="15"/>
      <c r="N231" s="15"/>
      <c r="O231" s="15"/>
      <c r="P231" s="15"/>
      <c r="Q231" s="11"/>
      <c r="R231" s="11"/>
      <c r="S231" s="11"/>
      <c r="T231" s="11"/>
      <c r="U231" s="15"/>
      <c r="V231" s="11"/>
      <c r="W231" s="11"/>
      <c r="X231" s="11"/>
      <c r="Y231" s="11"/>
      <c r="Z231" s="11"/>
    </row>
    <row r="232">
      <c r="A232" s="18"/>
      <c r="B232" s="11"/>
      <c r="C232" s="11"/>
      <c r="D232" s="11"/>
      <c r="E232" s="11"/>
      <c r="F232" s="11"/>
      <c r="G232" s="11"/>
      <c r="H232" s="11"/>
      <c r="I232" s="11"/>
      <c r="J232" s="11"/>
      <c r="K232" s="11"/>
      <c r="L232" s="15"/>
      <c r="M232" s="15"/>
      <c r="N232" s="15"/>
      <c r="O232" s="15"/>
      <c r="P232" s="15"/>
      <c r="Q232" s="11"/>
      <c r="R232" s="11"/>
      <c r="S232" s="11"/>
      <c r="T232" s="11"/>
      <c r="U232" s="15"/>
      <c r="V232" s="11"/>
      <c r="W232" s="11"/>
      <c r="X232" s="11"/>
      <c r="Y232" s="11"/>
      <c r="Z232" s="11"/>
    </row>
    <row r="233">
      <c r="A233" s="18"/>
      <c r="B233" s="11"/>
      <c r="C233" s="11"/>
      <c r="D233" s="11"/>
      <c r="E233" s="11"/>
      <c r="F233" s="11"/>
      <c r="G233" s="11"/>
      <c r="H233" s="11"/>
      <c r="I233" s="11"/>
      <c r="J233" s="11"/>
      <c r="K233" s="11"/>
      <c r="L233" s="15"/>
      <c r="M233" s="15"/>
      <c r="N233" s="15"/>
      <c r="O233" s="15"/>
      <c r="P233" s="15"/>
      <c r="Q233" s="11"/>
      <c r="R233" s="11"/>
      <c r="S233" s="11"/>
      <c r="T233" s="11"/>
      <c r="U233" s="15"/>
      <c r="V233" s="11"/>
      <c r="W233" s="11"/>
      <c r="X233" s="11"/>
      <c r="Y233" s="11"/>
      <c r="Z233" s="11"/>
    </row>
    <row r="234">
      <c r="A234" s="18"/>
      <c r="B234" s="11"/>
      <c r="C234" s="11"/>
      <c r="D234" s="11"/>
      <c r="E234" s="11"/>
      <c r="F234" s="11"/>
      <c r="G234" s="11"/>
      <c r="H234" s="11"/>
      <c r="I234" s="11"/>
      <c r="J234" s="11"/>
      <c r="K234" s="11"/>
      <c r="L234" s="15"/>
      <c r="M234" s="15"/>
      <c r="N234" s="15"/>
      <c r="O234" s="15"/>
      <c r="P234" s="15"/>
      <c r="Q234" s="11"/>
      <c r="R234" s="11"/>
      <c r="S234" s="11"/>
      <c r="T234" s="11"/>
      <c r="U234" s="15"/>
      <c r="V234" s="11"/>
      <c r="W234" s="11"/>
      <c r="X234" s="11"/>
      <c r="Y234" s="11"/>
      <c r="Z234" s="11"/>
    </row>
    <row r="235">
      <c r="A235" s="18"/>
      <c r="B235" s="11"/>
      <c r="C235" s="11"/>
      <c r="D235" s="11"/>
      <c r="E235" s="11"/>
      <c r="F235" s="11"/>
      <c r="G235" s="11"/>
      <c r="H235" s="11"/>
      <c r="I235" s="11"/>
      <c r="J235" s="11"/>
      <c r="K235" s="11"/>
      <c r="L235" s="15"/>
      <c r="M235" s="15"/>
      <c r="N235" s="15"/>
      <c r="O235" s="15"/>
      <c r="P235" s="15"/>
      <c r="Q235" s="11"/>
      <c r="R235" s="11"/>
      <c r="S235" s="11"/>
      <c r="T235" s="11"/>
      <c r="U235" s="15"/>
      <c r="V235" s="11"/>
      <c r="W235" s="11"/>
      <c r="X235" s="11"/>
      <c r="Y235" s="11"/>
      <c r="Z235" s="11"/>
    </row>
    <row r="236">
      <c r="A236" s="18"/>
      <c r="B236" s="11"/>
      <c r="C236" s="11"/>
      <c r="D236" s="11"/>
      <c r="E236" s="11"/>
      <c r="F236" s="11"/>
      <c r="G236" s="11"/>
      <c r="H236" s="11"/>
      <c r="I236" s="11"/>
      <c r="J236" s="11"/>
      <c r="K236" s="11"/>
      <c r="L236" s="15"/>
      <c r="M236" s="15"/>
      <c r="N236" s="15"/>
      <c r="O236" s="15"/>
      <c r="P236" s="15"/>
      <c r="Q236" s="11"/>
      <c r="R236" s="11"/>
      <c r="S236" s="11"/>
      <c r="T236" s="11"/>
      <c r="U236" s="15"/>
      <c r="V236" s="11"/>
      <c r="W236" s="11"/>
      <c r="X236" s="11"/>
      <c r="Y236" s="11"/>
      <c r="Z236" s="11"/>
    </row>
    <row r="237">
      <c r="A237" s="18"/>
      <c r="B237" s="11"/>
      <c r="C237" s="11"/>
      <c r="D237" s="11"/>
      <c r="E237" s="11"/>
      <c r="F237" s="11"/>
      <c r="G237" s="11"/>
      <c r="H237" s="11"/>
      <c r="I237" s="11"/>
      <c r="J237" s="11"/>
      <c r="K237" s="11"/>
      <c r="L237" s="15"/>
      <c r="M237" s="15"/>
      <c r="N237" s="15"/>
      <c r="O237" s="15"/>
      <c r="P237" s="15"/>
      <c r="Q237" s="11"/>
      <c r="R237" s="11"/>
      <c r="S237" s="11"/>
      <c r="T237" s="11"/>
      <c r="U237" s="15"/>
      <c r="V237" s="11"/>
      <c r="W237" s="11"/>
      <c r="X237" s="11"/>
      <c r="Y237" s="11"/>
      <c r="Z237" s="11"/>
    </row>
    <row r="238">
      <c r="A238" s="18"/>
      <c r="B238" s="11"/>
      <c r="C238" s="11"/>
      <c r="D238" s="11"/>
      <c r="E238" s="11"/>
      <c r="F238" s="11"/>
      <c r="G238" s="11"/>
      <c r="H238" s="11"/>
      <c r="I238" s="11"/>
      <c r="J238" s="11"/>
      <c r="K238" s="11"/>
      <c r="L238" s="15"/>
      <c r="M238" s="15"/>
      <c r="N238" s="15"/>
      <c r="O238" s="15"/>
      <c r="P238" s="15"/>
      <c r="Q238" s="11"/>
      <c r="R238" s="11"/>
      <c r="S238" s="11"/>
      <c r="T238" s="11"/>
      <c r="U238" s="15"/>
      <c r="V238" s="11"/>
      <c r="W238" s="11"/>
      <c r="X238" s="11"/>
      <c r="Y238" s="11"/>
      <c r="Z238" s="11"/>
    </row>
    <row r="239">
      <c r="A239" s="18"/>
      <c r="B239" s="11"/>
      <c r="C239" s="11"/>
      <c r="D239" s="11"/>
      <c r="E239" s="11"/>
      <c r="F239" s="11"/>
      <c r="G239" s="11"/>
      <c r="H239" s="11"/>
      <c r="I239" s="11"/>
      <c r="J239" s="11"/>
      <c r="K239" s="11"/>
      <c r="L239" s="15"/>
      <c r="M239" s="15"/>
      <c r="N239" s="15"/>
      <c r="O239" s="15"/>
      <c r="P239" s="15"/>
      <c r="Q239" s="11"/>
      <c r="R239" s="11"/>
      <c r="S239" s="11"/>
      <c r="T239" s="11"/>
      <c r="U239" s="15"/>
      <c r="V239" s="11"/>
      <c r="W239" s="11"/>
      <c r="X239" s="11"/>
      <c r="Y239" s="11"/>
      <c r="Z239" s="11"/>
    </row>
    <row r="240">
      <c r="A240" s="18"/>
      <c r="B240" s="11"/>
      <c r="C240" s="11"/>
      <c r="D240" s="11"/>
      <c r="E240" s="11"/>
      <c r="F240" s="11"/>
      <c r="G240" s="11"/>
      <c r="H240" s="11"/>
      <c r="I240" s="11"/>
      <c r="J240" s="11"/>
      <c r="K240" s="11"/>
      <c r="L240" s="15"/>
      <c r="M240" s="15"/>
      <c r="N240" s="15"/>
      <c r="O240" s="15"/>
      <c r="P240" s="15"/>
      <c r="Q240" s="11"/>
      <c r="R240" s="11"/>
      <c r="S240" s="11"/>
      <c r="T240" s="11"/>
      <c r="U240" s="15"/>
      <c r="V240" s="11"/>
      <c r="W240" s="11"/>
      <c r="X240" s="11"/>
      <c r="Y240" s="11"/>
      <c r="Z240" s="11"/>
    </row>
    <row r="241">
      <c r="A241" s="18"/>
      <c r="B241" s="11"/>
      <c r="C241" s="11"/>
      <c r="D241" s="11"/>
      <c r="E241" s="11"/>
      <c r="F241" s="11"/>
      <c r="G241" s="11"/>
      <c r="H241" s="11"/>
      <c r="I241" s="11"/>
      <c r="J241" s="11"/>
      <c r="K241" s="11"/>
      <c r="L241" s="15"/>
      <c r="M241" s="15"/>
      <c r="N241" s="15"/>
      <c r="O241" s="15"/>
      <c r="P241" s="15"/>
      <c r="Q241" s="11"/>
      <c r="R241" s="11"/>
      <c r="S241" s="11"/>
      <c r="T241" s="11"/>
      <c r="U241" s="15"/>
      <c r="V241" s="11"/>
      <c r="W241" s="11"/>
      <c r="X241" s="11"/>
      <c r="Y241" s="11"/>
      <c r="Z241" s="11"/>
    </row>
    <row r="242">
      <c r="A242" s="18"/>
      <c r="B242" s="11"/>
      <c r="C242" s="11"/>
      <c r="D242" s="11"/>
      <c r="E242" s="11"/>
      <c r="F242" s="11"/>
      <c r="G242" s="11"/>
      <c r="H242" s="11"/>
      <c r="I242" s="11"/>
      <c r="J242" s="11"/>
      <c r="K242" s="11"/>
      <c r="L242" s="15"/>
      <c r="M242" s="15"/>
      <c r="N242" s="15"/>
      <c r="O242" s="15"/>
      <c r="P242" s="15"/>
      <c r="Q242" s="11"/>
      <c r="R242" s="11"/>
      <c r="S242" s="11"/>
      <c r="T242" s="11"/>
      <c r="U242" s="15"/>
      <c r="V242" s="11"/>
      <c r="W242" s="11"/>
      <c r="X242" s="11"/>
      <c r="Y242" s="11"/>
      <c r="Z242" s="11"/>
    </row>
    <row r="243">
      <c r="A243" s="18"/>
      <c r="B243" s="11"/>
      <c r="C243" s="11"/>
      <c r="D243" s="11"/>
      <c r="E243" s="11"/>
      <c r="F243" s="11"/>
      <c r="G243" s="11"/>
      <c r="H243" s="11"/>
      <c r="I243" s="11"/>
      <c r="J243" s="11"/>
      <c r="K243" s="11"/>
      <c r="L243" s="15"/>
      <c r="M243" s="15"/>
      <c r="N243" s="15"/>
      <c r="O243" s="15"/>
      <c r="P243" s="15"/>
      <c r="Q243" s="11"/>
      <c r="R243" s="11"/>
      <c r="S243" s="11"/>
      <c r="T243" s="11"/>
      <c r="U243" s="15"/>
      <c r="V243" s="11"/>
      <c r="W243" s="11"/>
      <c r="X243" s="11"/>
      <c r="Y243" s="11"/>
      <c r="Z243" s="11"/>
    </row>
    <row r="244">
      <c r="A244" s="18"/>
      <c r="B244" s="11"/>
      <c r="C244" s="11"/>
      <c r="D244" s="11"/>
      <c r="E244" s="11"/>
      <c r="F244" s="11"/>
      <c r="G244" s="11"/>
      <c r="H244" s="11"/>
      <c r="I244" s="11"/>
      <c r="J244" s="11"/>
      <c r="K244" s="11"/>
      <c r="L244" s="15"/>
      <c r="M244" s="15"/>
      <c r="N244" s="15"/>
      <c r="O244" s="15"/>
      <c r="P244" s="15"/>
      <c r="Q244" s="11"/>
      <c r="R244" s="11"/>
      <c r="S244" s="11"/>
      <c r="T244" s="11"/>
      <c r="U244" s="15"/>
      <c r="V244" s="11"/>
      <c r="W244" s="11"/>
      <c r="X244" s="11"/>
      <c r="Y244" s="11"/>
      <c r="Z244" s="11"/>
    </row>
    <row r="245">
      <c r="A245" s="18"/>
      <c r="B245" s="11"/>
      <c r="C245" s="11"/>
      <c r="D245" s="11"/>
      <c r="E245" s="11"/>
      <c r="F245" s="11"/>
      <c r="G245" s="11"/>
      <c r="H245" s="11"/>
      <c r="I245" s="11"/>
      <c r="J245" s="11"/>
      <c r="K245" s="11"/>
      <c r="L245" s="15"/>
      <c r="M245" s="15"/>
      <c r="N245" s="15"/>
      <c r="O245" s="15"/>
      <c r="P245" s="15"/>
      <c r="Q245" s="11"/>
      <c r="R245" s="11"/>
      <c r="S245" s="11"/>
      <c r="T245" s="11"/>
      <c r="U245" s="15"/>
      <c r="V245" s="11"/>
      <c r="W245" s="11"/>
      <c r="X245" s="11"/>
      <c r="Y245" s="11"/>
      <c r="Z245" s="11"/>
    </row>
    <row r="246">
      <c r="A246" s="18"/>
      <c r="B246" s="11"/>
      <c r="C246" s="11"/>
      <c r="D246" s="11"/>
      <c r="E246" s="11"/>
      <c r="F246" s="11"/>
      <c r="G246" s="11"/>
      <c r="H246" s="11"/>
      <c r="I246" s="11"/>
      <c r="J246" s="11"/>
      <c r="K246" s="11"/>
      <c r="L246" s="15"/>
      <c r="M246" s="15"/>
      <c r="N246" s="15"/>
      <c r="O246" s="15"/>
      <c r="P246" s="15"/>
      <c r="Q246" s="11"/>
      <c r="R246" s="11"/>
      <c r="S246" s="11"/>
      <c r="T246" s="11"/>
      <c r="U246" s="15"/>
      <c r="V246" s="11"/>
      <c r="W246" s="11"/>
      <c r="X246" s="11"/>
      <c r="Y246" s="11"/>
      <c r="Z246" s="11"/>
    </row>
    <row r="247">
      <c r="A247" s="18"/>
      <c r="B247" s="11"/>
      <c r="C247" s="11"/>
      <c r="D247" s="11"/>
      <c r="E247" s="11"/>
      <c r="F247" s="11"/>
      <c r="G247" s="11"/>
      <c r="H247" s="11"/>
      <c r="I247" s="11"/>
      <c r="J247" s="11"/>
      <c r="K247" s="11"/>
      <c r="L247" s="15"/>
      <c r="M247" s="15"/>
      <c r="N247" s="15"/>
      <c r="O247" s="15"/>
      <c r="P247" s="15"/>
      <c r="Q247" s="11"/>
      <c r="R247" s="11"/>
      <c r="S247" s="11"/>
      <c r="T247" s="11"/>
      <c r="U247" s="15"/>
      <c r="V247" s="11"/>
      <c r="W247" s="11"/>
      <c r="X247" s="11"/>
      <c r="Y247" s="11"/>
      <c r="Z247" s="11"/>
    </row>
    <row r="248">
      <c r="A248" s="18"/>
      <c r="B248" s="11"/>
      <c r="C248" s="11"/>
      <c r="D248" s="11"/>
      <c r="E248" s="11"/>
      <c r="F248" s="11"/>
      <c r="G248" s="11"/>
      <c r="H248" s="11"/>
      <c r="I248" s="11"/>
      <c r="J248" s="11"/>
      <c r="K248" s="11"/>
      <c r="L248" s="15"/>
      <c r="M248" s="15"/>
      <c r="N248" s="15"/>
      <c r="O248" s="15"/>
      <c r="P248" s="15"/>
      <c r="Q248" s="11"/>
      <c r="R248" s="11"/>
      <c r="S248" s="11"/>
      <c r="T248" s="11"/>
      <c r="U248" s="15"/>
      <c r="V248" s="11"/>
      <c r="W248" s="11"/>
      <c r="X248" s="11"/>
      <c r="Y248" s="11"/>
      <c r="Z248" s="11"/>
    </row>
    <row r="249">
      <c r="A249" s="18"/>
      <c r="B249" s="11"/>
      <c r="C249" s="11"/>
      <c r="D249" s="11"/>
      <c r="E249" s="11"/>
      <c r="F249" s="11"/>
      <c r="G249" s="11"/>
      <c r="H249" s="11"/>
      <c r="I249" s="11"/>
      <c r="J249" s="11"/>
      <c r="K249" s="11"/>
      <c r="L249" s="15"/>
      <c r="M249" s="15"/>
      <c r="N249" s="15"/>
      <c r="O249" s="15"/>
      <c r="P249" s="15"/>
      <c r="Q249" s="11"/>
      <c r="R249" s="11"/>
      <c r="S249" s="11"/>
      <c r="T249" s="11"/>
      <c r="U249" s="15"/>
      <c r="V249" s="11"/>
      <c r="W249" s="11"/>
      <c r="X249" s="11"/>
      <c r="Y249" s="11"/>
      <c r="Z249" s="11"/>
    </row>
    <row r="250">
      <c r="A250" s="18"/>
      <c r="B250" s="11"/>
      <c r="C250" s="11"/>
      <c r="D250" s="11"/>
      <c r="E250" s="11"/>
      <c r="F250" s="11"/>
      <c r="G250" s="11"/>
      <c r="H250" s="11"/>
      <c r="I250" s="11"/>
      <c r="J250" s="11"/>
      <c r="K250" s="11"/>
      <c r="L250" s="15"/>
      <c r="M250" s="15"/>
      <c r="N250" s="15"/>
      <c r="O250" s="15"/>
      <c r="P250" s="15"/>
      <c r="Q250" s="11"/>
      <c r="R250" s="11"/>
      <c r="S250" s="11"/>
      <c r="T250" s="11"/>
      <c r="U250" s="15"/>
      <c r="V250" s="11"/>
      <c r="W250" s="11"/>
      <c r="X250" s="11"/>
      <c r="Y250" s="11"/>
      <c r="Z250" s="11"/>
    </row>
    <row r="251">
      <c r="A251" s="18"/>
      <c r="B251" s="11"/>
      <c r="C251" s="11"/>
      <c r="D251" s="11"/>
      <c r="E251" s="11"/>
      <c r="F251" s="11"/>
      <c r="G251" s="11"/>
      <c r="H251" s="11"/>
      <c r="I251" s="11"/>
      <c r="J251" s="11"/>
      <c r="K251" s="11"/>
      <c r="L251" s="15"/>
      <c r="M251" s="15"/>
      <c r="N251" s="15"/>
      <c r="O251" s="15"/>
      <c r="P251" s="15"/>
      <c r="Q251" s="11"/>
      <c r="R251" s="11"/>
      <c r="S251" s="11"/>
      <c r="T251" s="11"/>
      <c r="U251" s="15"/>
      <c r="V251" s="11"/>
      <c r="W251" s="11"/>
      <c r="X251" s="11"/>
      <c r="Y251" s="11"/>
      <c r="Z251" s="11"/>
    </row>
    <row r="252">
      <c r="A252" s="18"/>
      <c r="B252" s="11"/>
      <c r="C252" s="11"/>
      <c r="D252" s="11"/>
      <c r="E252" s="11"/>
      <c r="F252" s="11"/>
      <c r="G252" s="11"/>
      <c r="H252" s="11"/>
      <c r="I252" s="11"/>
      <c r="J252" s="11"/>
      <c r="K252" s="11"/>
      <c r="L252" s="15"/>
      <c r="M252" s="15"/>
      <c r="N252" s="15"/>
      <c r="O252" s="15"/>
      <c r="P252" s="15"/>
      <c r="Q252" s="11"/>
      <c r="R252" s="11"/>
      <c r="S252" s="11"/>
      <c r="T252" s="11"/>
      <c r="U252" s="15"/>
      <c r="V252" s="11"/>
      <c r="W252" s="11"/>
      <c r="X252" s="11"/>
      <c r="Y252" s="11"/>
      <c r="Z252" s="11"/>
    </row>
    <row r="253">
      <c r="A253" s="18"/>
      <c r="B253" s="11"/>
      <c r="C253" s="11"/>
      <c r="D253" s="11"/>
      <c r="E253" s="11"/>
      <c r="F253" s="11"/>
      <c r="G253" s="11"/>
      <c r="H253" s="11"/>
      <c r="I253" s="11"/>
      <c r="J253" s="11"/>
      <c r="K253" s="11"/>
      <c r="L253" s="15"/>
      <c r="M253" s="15"/>
      <c r="N253" s="15"/>
      <c r="O253" s="15"/>
      <c r="P253" s="15"/>
      <c r="Q253" s="11"/>
      <c r="R253" s="11"/>
      <c r="S253" s="11"/>
      <c r="T253" s="11"/>
      <c r="U253" s="15"/>
      <c r="V253" s="11"/>
      <c r="W253" s="11"/>
      <c r="X253" s="11"/>
      <c r="Y253" s="11"/>
      <c r="Z253" s="11"/>
    </row>
    <row r="254">
      <c r="A254" s="18"/>
      <c r="B254" s="11"/>
      <c r="C254" s="11"/>
      <c r="D254" s="11"/>
      <c r="E254" s="11"/>
      <c r="F254" s="11"/>
      <c r="G254" s="11"/>
      <c r="H254" s="11"/>
      <c r="I254" s="11"/>
      <c r="J254" s="11"/>
      <c r="K254" s="11"/>
      <c r="L254" s="15"/>
      <c r="M254" s="15"/>
      <c r="N254" s="15"/>
      <c r="O254" s="15"/>
      <c r="P254" s="15"/>
      <c r="Q254" s="11"/>
      <c r="R254" s="11"/>
      <c r="S254" s="11"/>
      <c r="T254" s="11"/>
      <c r="U254" s="15"/>
      <c r="V254" s="11"/>
      <c r="W254" s="11"/>
      <c r="X254" s="11"/>
      <c r="Y254" s="11"/>
      <c r="Z254" s="11"/>
    </row>
    <row r="255">
      <c r="A255" s="18"/>
      <c r="B255" s="11"/>
      <c r="C255" s="11"/>
      <c r="D255" s="11"/>
      <c r="E255" s="11"/>
      <c r="F255" s="11"/>
      <c r="G255" s="11"/>
      <c r="H255" s="11"/>
      <c r="I255" s="11"/>
      <c r="J255" s="11"/>
      <c r="K255" s="11"/>
      <c r="L255" s="15"/>
      <c r="M255" s="15"/>
      <c r="N255" s="15"/>
      <c r="O255" s="15"/>
      <c r="P255" s="15"/>
      <c r="Q255" s="11"/>
      <c r="R255" s="11"/>
      <c r="S255" s="11"/>
      <c r="T255" s="11"/>
      <c r="U255" s="15"/>
      <c r="V255" s="11"/>
      <c r="W255" s="11"/>
      <c r="X255" s="11"/>
      <c r="Y255" s="11"/>
      <c r="Z255" s="11"/>
    </row>
    <row r="256">
      <c r="A256" s="18"/>
      <c r="B256" s="11"/>
      <c r="C256" s="11"/>
      <c r="D256" s="11"/>
      <c r="E256" s="11"/>
      <c r="F256" s="11"/>
      <c r="G256" s="11"/>
      <c r="H256" s="11"/>
      <c r="I256" s="11"/>
      <c r="J256" s="11"/>
      <c r="K256" s="11"/>
      <c r="L256" s="15"/>
      <c r="M256" s="15"/>
      <c r="N256" s="15"/>
      <c r="O256" s="15"/>
      <c r="P256" s="15"/>
      <c r="Q256" s="11"/>
      <c r="R256" s="11"/>
      <c r="S256" s="11"/>
      <c r="T256" s="11"/>
      <c r="U256" s="15"/>
      <c r="V256" s="11"/>
      <c r="W256" s="11"/>
      <c r="X256" s="11"/>
      <c r="Y256" s="11"/>
      <c r="Z256" s="11"/>
    </row>
    <row r="257">
      <c r="A257" s="18"/>
      <c r="B257" s="11"/>
      <c r="C257" s="11"/>
      <c r="D257" s="11"/>
      <c r="E257" s="11"/>
      <c r="F257" s="11"/>
      <c r="G257" s="11"/>
      <c r="H257" s="11"/>
      <c r="I257" s="11"/>
      <c r="J257" s="11"/>
      <c r="K257" s="11"/>
      <c r="L257" s="15"/>
      <c r="M257" s="15"/>
      <c r="N257" s="15"/>
      <c r="O257" s="15"/>
      <c r="P257" s="15"/>
      <c r="Q257" s="11"/>
      <c r="R257" s="11"/>
      <c r="S257" s="11"/>
      <c r="T257" s="11"/>
      <c r="U257" s="15"/>
      <c r="V257" s="11"/>
      <c r="W257" s="11"/>
      <c r="X257" s="11"/>
      <c r="Y257" s="11"/>
      <c r="Z257" s="11"/>
    </row>
    <row r="258">
      <c r="A258" s="18"/>
      <c r="B258" s="11"/>
      <c r="C258" s="11"/>
      <c r="D258" s="11"/>
      <c r="E258" s="11"/>
      <c r="F258" s="11"/>
      <c r="G258" s="11"/>
      <c r="H258" s="11"/>
      <c r="I258" s="11"/>
      <c r="J258" s="11"/>
      <c r="K258" s="11"/>
      <c r="L258" s="15"/>
      <c r="M258" s="15"/>
      <c r="N258" s="15"/>
      <c r="O258" s="15"/>
      <c r="P258" s="15"/>
      <c r="Q258" s="11"/>
      <c r="R258" s="11"/>
      <c r="S258" s="11"/>
      <c r="T258" s="11"/>
      <c r="U258" s="15"/>
      <c r="V258" s="11"/>
      <c r="W258" s="11"/>
      <c r="X258" s="11"/>
      <c r="Y258" s="11"/>
      <c r="Z258" s="11"/>
    </row>
    <row r="259">
      <c r="A259" s="18"/>
      <c r="B259" s="11"/>
      <c r="C259" s="11"/>
      <c r="D259" s="11"/>
      <c r="E259" s="11"/>
      <c r="F259" s="11"/>
      <c r="G259" s="11"/>
      <c r="H259" s="11"/>
      <c r="I259" s="11"/>
      <c r="J259" s="11"/>
      <c r="K259" s="11"/>
      <c r="L259" s="15"/>
      <c r="M259" s="15"/>
      <c r="N259" s="15"/>
      <c r="O259" s="15"/>
      <c r="P259" s="15"/>
      <c r="Q259" s="11"/>
      <c r="R259" s="11"/>
      <c r="S259" s="11"/>
      <c r="T259" s="11"/>
      <c r="U259" s="15"/>
      <c r="V259" s="11"/>
      <c r="W259" s="11"/>
      <c r="X259" s="11"/>
      <c r="Y259" s="11"/>
      <c r="Z259" s="11"/>
    </row>
    <row r="260">
      <c r="A260" s="18"/>
      <c r="B260" s="11"/>
      <c r="C260" s="11"/>
      <c r="D260" s="11"/>
      <c r="E260" s="11"/>
      <c r="F260" s="11"/>
      <c r="G260" s="11"/>
      <c r="H260" s="11"/>
      <c r="I260" s="11"/>
      <c r="J260" s="11"/>
      <c r="K260" s="11"/>
      <c r="L260" s="15"/>
      <c r="M260" s="15"/>
      <c r="N260" s="15"/>
      <c r="O260" s="15"/>
      <c r="P260" s="15"/>
      <c r="Q260" s="11"/>
      <c r="R260" s="11"/>
      <c r="S260" s="11"/>
      <c r="T260" s="11"/>
      <c r="U260" s="15"/>
      <c r="V260" s="11"/>
      <c r="W260" s="11"/>
      <c r="X260" s="11"/>
      <c r="Y260" s="11"/>
      <c r="Z260" s="11"/>
    </row>
    <row r="261">
      <c r="A261" s="18"/>
      <c r="B261" s="11"/>
      <c r="C261" s="11"/>
      <c r="D261" s="11"/>
      <c r="E261" s="11"/>
      <c r="F261" s="11"/>
      <c r="G261" s="11"/>
      <c r="H261" s="11"/>
      <c r="I261" s="11"/>
      <c r="J261" s="11"/>
      <c r="K261" s="11"/>
      <c r="L261" s="15"/>
      <c r="M261" s="15"/>
      <c r="N261" s="15"/>
      <c r="O261" s="15"/>
      <c r="P261" s="15"/>
      <c r="Q261" s="11"/>
      <c r="R261" s="11"/>
      <c r="S261" s="11"/>
      <c r="T261" s="11"/>
      <c r="U261" s="15"/>
      <c r="V261" s="11"/>
      <c r="W261" s="11"/>
      <c r="X261" s="11"/>
      <c r="Y261" s="11"/>
      <c r="Z261" s="11"/>
    </row>
    <row r="262">
      <c r="A262" s="18"/>
      <c r="B262" s="11"/>
      <c r="C262" s="11"/>
      <c r="D262" s="11"/>
      <c r="E262" s="11"/>
      <c r="F262" s="11"/>
      <c r="G262" s="11"/>
      <c r="H262" s="11"/>
      <c r="I262" s="11"/>
      <c r="J262" s="11"/>
      <c r="K262" s="11"/>
      <c r="L262" s="15"/>
      <c r="M262" s="15"/>
      <c r="N262" s="15"/>
      <c r="O262" s="15"/>
      <c r="P262" s="15"/>
      <c r="Q262" s="11"/>
      <c r="R262" s="11"/>
      <c r="S262" s="11"/>
      <c r="T262" s="11"/>
      <c r="U262" s="15"/>
      <c r="V262" s="11"/>
      <c r="W262" s="11"/>
      <c r="X262" s="11"/>
      <c r="Y262" s="11"/>
      <c r="Z262" s="11"/>
    </row>
    <row r="263">
      <c r="A263" s="18"/>
      <c r="B263" s="11"/>
      <c r="C263" s="11"/>
      <c r="D263" s="11"/>
      <c r="E263" s="11"/>
      <c r="F263" s="11"/>
      <c r="G263" s="11"/>
      <c r="H263" s="11"/>
      <c r="I263" s="11"/>
      <c r="J263" s="11"/>
      <c r="K263" s="11"/>
      <c r="L263" s="15"/>
      <c r="M263" s="15"/>
      <c r="N263" s="15"/>
      <c r="O263" s="15"/>
      <c r="P263" s="15"/>
      <c r="Q263" s="11"/>
      <c r="R263" s="11"/>
      <c r="S263" s="11"/>
      <c r="T263" s="11"/>
      <c r="U263" s="15"/>
      <c r="V263" s="11"/>
      <c r="W263" s="11"/>
      <c r="X263" s="11"/>
      <c r="Y263" s="11"/>
      <c r="Z263" s="11"/>
    </row>
    <row r="264">
      <c r="A264" s="18"/>
      <c r="B264" s="11"/>
      <c r="C264" s="11"/>
      <c r="D264" s="11"/>
      <c r="E264" s="11"/>
      <c r="F264" s="11"/>
      <c r="G264" s="11"/>
      <c r="H264" s="11"/>
      <c r="I264" s="11"/>
      <c r="J264" s="11"/>
      <c r="K264" s="11"/>
      <c r="L264" s="15"/>
      <c r="M264" s="15"/>
      <c r="N264" s="15"/>
      <c r="O264" s="15"/>
      <c r="P264" s="15"/>
      <c r="Q264" s="11"/>
      <c r="R264" s="11"/>
      <c r="S264" s="11"/>
      <c r="T264" s="11"/>
      <c r="U264" s="15"/>
      <c r="V264" s="11"/>
      <c r="W264" s="11"/>
      <c r="X264" s="11"/>
      <c r="Y264" s="11"/>
      <c r="Z264" s="11"/>
    </row>
    <row r="265">
      <c r="A265" s="18"/>
      <c r="B265" s="11"/>
      <c r="C265" s="11"/>
      <c r="D265" s="11"/>
      <c r="E265" s="11"/>
      <c r="F265" s="11"/>
      <c r="G265" s="11"/>
      <c r="H265" s="11"/>
      <c r="I265" s="11"/>
      <c r="J265" s="11"/>
      <c r="K265" s="11"/>
      <c r="L265" s="15"/>
      <c r="M265" s="15"/>
      <c r="N265" s="15"/>
      <c r="O265" s="15"/>
      <c r="P265" s="15"/>
      <c r="Q265" s="11"/>
      <c r="R265" s="11"/>
      <c r="S265" s="11"/>
      <c r="T265" s="11"/>
      <c r="U265" s="15"/>
      <c r="V265" s="11"/>
      <c r="W265" s="11"/>
      <c r="X265" s="11"/>
      <c r="Y265" s="11"/>
      <c r="Z265" s="11"/>
    </row>
    <row r="266">
      <c r="A266" s="18"/>
      <c r="B266" s="11"/>
      <c r="C266" s="11"/>
      <c r="D266" s="11"/>
      <c r="E266" s="11"/>
      <c r="F266" s="11"/>
      <c r="G266" s="11"/>
      <c r="H266" s="11"/>
      <c r="I266" s="11"/>
      <c r="J266" s="11"/>
      <c r="K266" s="11"/>
      <c r="L266" s="15"/>
      <c r="M266" s="15"/>
      <c r="N266" s="15"/>
      <c r="O266" s="15"/>
      <c r="P266" s="15"/>
      <c r="Q266" s="11"/>
      <c r="R266" s="11"/>
      <c r="S266" s="11"/>
      <c r="T266" s="11"/>
      <c r="U266" s="15"/>
      <c r="V266" s="11"/>
      <c r="W266" s="11"/>
      <c r="X266" s="11"/>
      <c r="Y266" s="11"/>
      <c r="Z266" s="11"/>
    </row>
    <row r="267">
      <c r="A267" s="18"/>
      <c r="B267" s="11"/>
      <c r="C267" s="11"/>
      <c r="D267" s="11"/>
      <c r="E267" s="11"/>
      <c r="F267" s="11"/>
      <c r="G267" s="11"/>
      <c r="H267" s="11"/>
      <c r="I267" s="11"/>
      <c r="J267" s="11"/>
      <c r="K267" s="11"/>
      <c r="L267" s="15"/>
      <c r="M267" s="15"/>
      <c r="N267" s="15"/>
      <c r="O267" s="15"/>
      <c r="P267" s="15"/>
      <c r="Q267" s="11"/>
      <c r="R267" s="11"/>
      <c r="S267" s="11"/>
      <c r="T267" s="11"/>
      <c r="U267" s="15"/>
      <c r="V267" s="11"/>
      <c r="W267" s="11"/>
      <c r="X267" s="11"/>
      <c r="Y267" s="11"/>
      <c r="Z267" s="11"/>
    </row>
    <row r="268">
      <c r="A268" s="18"/>
      <c r="B268" s="11"/>
      <c r="C268" s="11"/>
      <c r="D268" s="11"/>
      <c r="E268" s="11"/>
      <c r="F268" s="11"/>
      <c r="G268" s="11"/>
      <c r="H268" s="11"/>
      <c r="I268" s="11"/>
      <c r="J268" s="11"/>
      <c r="K268" s="11"/>
      <c r="L268" s="15"/>
      <c r="M268" s="15"/>
      <c r="N268" s="15"/>
      <c r="O268" s="15"/>
      <c r="P268" s="15"/>
      <c r="Q268" s="11"/>
      <c r="R268" s="11"/>
      <c r="S268" s="11"/>
      <c r="T268" s="11"/>
      <c r="U268" s="15"/>
      <c r="V268" s="11"/>
      <c r="W268" s="11"/>
      <c r="X268" s="11"/>
      <c r="Y268" s="11"/>
      <c r="Z268" s="11"/>
    </row>
    <row r="269">
      <c r="A269" s="18"/>
      <c r="B269" s="11"/>
      <c r="C269" s="11"/>
      <c r="D269" s="11"/>
      <c r="E269" s="11"/>
      <c r="F269" s="11"/>
      <c r="G269" s="11"/>
      <c r="H269" s="11"/>
      <c r="I269" s="11"/>
      <c r="J269" s="11"/>
      <c r="K269" s="11"/>
      <c r="L269" s="15"/>
      <c r="M269" s="15"/>
      <c r="N269" s="15"/>
      <c r="O269" s="15"/>
      <c r="P269" s="15"/>
      <c r="Q269" s="11"/>
      <c r="R269" s="11"/>
      <c r="S269" s="11"/>
      <c r="T269" s="11"/>
      <c r="U269" s="15"/>
      <c r="V269" s="11"/>
      <c r="W269" s="11"/>
      <c r="X269" s="11"/>
      <c r="Y269" s="11"/>
      <c r="Z269" s="11"/>
    </row>
    <row r="270">
      <c r="A270" s="18"/>
      <c r="B270" s="11"/>
      <c r="C270" s="11"/>
      <c r="D270" s="11"/>
      <c r="E270" s="11"/>
      <c r="F270" s="11"/>
      <c r="G270" s="11"/>
      <c r="H270" s="11"/>
      <c r="I270" s="11"/>
      <c r="J270" s="11"/>
      <c r="K270" s="11"/>
      <c r="L270" s="15"/>
      <c r="M270" s="15"/>
      <c r="N270" s="15"/>
      <c r="O270" s="15"/>
      <c r="P270" s="15"/>
      <c r="Q270" s="11"/>
      <c r="R270" s="11"/>
      <c r="S270" s="11"/>
      <c r="T270" s="11"/>
      <c r="U270" s="15"/>
      <c r="V270" s="11"/>
      <c r="W270" s="11"/>
      <c r="X270" s="11"/>
      <c r="Y270" s="11"/>
      <c r="Z270" s="11"/>
    </row>
    <row r="271">
      <c r="A271" s="18"/>
      <c r="B271" s="11"/>
      <c r="C271" s="11"/>
      <c r="D271" s="11"/>
      <c r="E271" s="11"/>
      <c r="F271" s="11"/>
      <c r="G271" s="11"/>
      <c r="H271" s="11"/>
      <c r="I271" s="11"/>
      <c r="J271" s="11"/>
      <c r="K271" s="11"/>
      <c r="L271" s="15"/>
      <c r="M271" s="15"/>
      <c r="N271" s="15"/>
      <c r="O271" s="15"/>
      <c r="P271" s="15"/>
      <c r="Q271" s="11"/>
      <c r="R271" s="11"/>
      <c r="S271" s="11"/>
      <c r="T271" s="11"/>
      <c r="U271" s="15"/>
      <c r="V271" s="11"/>
      <c r="W271" s="11"/>
      <c r="X271" s="11"/>
      <c r="Y271" s="11"/>
      <c r="Z271" s="11"/>
    </row>
    <row r="272">
      <c r="A272" s="18"/>
      <c r="B272" s="11"/>
      <c r="C272" s="11"/>
      <c r="D272" s="11"/>
      <c r="E272" s="11"/>
      <c r="F272" s="11"/>
      <c r="G272" s="11"/>
      <c r="H272" s="11"/>
      <c r="I272" s="11"/>
      <c r="J272" s="11"/>
      <c r="K272" s="11"/>
      <c r="L272" s="15"/>
      <c r="M272" s="15"/>
      <c r="N272" s="15"/>
      <c r="O272" s="15"/>
      <c r="P272" s="15"/>
      <c r="Q272" s="11"/>
      <c r="R272" s="11"/>
      <c r="S272" s="11"/>
      <c r="T272" s="11"/>
      <c r="U272" s="15"/>
      <c r="V272" s="11"/>
      <c r="W272" s="11"/>
      <c r="X272" s="11"/>
      <c r="Y272" s="11"/>
      <c r="Z272" s="11"/>
    </row>
    <row r="273">
      <c r="A273" s="18"/>
      <c r="B273" s="11"/>
      <c r="C273" s="11"/>
      <c r="D273" s="11"/>
      <c r="E273" s="11"/>
      <c r="F273" s="11"/>
      <c r="G273" s="11"/>
      <c r="H273" s="11"/>
      <c r="I273" s="11"/>
      <c r="J273" s="11"/>
      <c r="K273" s="11"/>
      <c r="L273" s="15"/>
      <c r="M273" s="15"/>
      <c r="N273" s="15"/>
      <c r="O273" s="15"/>
      <c r="P273" s="15"/>
      <c r="Q273" s="11"/>
      <c r="R273" s="11"/>
      <c r="S273" s="11"/>
      <c r="T273" s="11"/>
      <c r="U273" s="15"/>
      <c r="V273" s="11"/>
      <c r="W273" s="11"/>
      <c r="X273" s="11"/>
      <c r="Y273" s="11"/>
      <c r="Z273" s="11"/>
    </row>
    <row r="274">
      <c r="A274" s="18"/>
      <c r="B274" s="11"/>
      <c r="C274" s="11"/>
      <c r="D274" s="11"/>
      <c r="E274" s="11"/>
      <c r="F274" s="11"/>
      <c r="G274" s="11"/>
      <c r="H274" s="11"/>
      <c r="I274" s="11"/>
      <c r="J274" s="11"/>
      <c r="K274" s="11"/>
      <c r="L274" s="15"/>
      <c r="M274" s="15"/>
      <c r="N274" s="15"/>
      <c r="O274" s="15"/>
      <c r="P274" s="15"/>
      <c r="Q274" s="11"/>
      <c r="R274" s="11"/>
      <c r="S274" s="11"/>
      <c r="T274" s="11"/>
      <c r="U274" s="15"/>
      <c r="V274" s="11"/>
      <c r="W274" s="11"/>
      <c r="X274" s="11"/>
      <c r="Y274" s="11"/>
      <c r="Z274" s="11"/>
    </row>
    <row r="275">
      <c r="A275" s="18"/>
      <c r="B275" s="11"/>
      <c r="C275" s="11"/>
      <c r="D275" s="11"/>
      <c r="E275" s="11"/>
      <c r="F275" s="11"/>
      <c r="G275" s="11"/>
      <c r="H275" s="11"/>
      <c r="I275" s="11"/>
      <c r="J275" s="11"/>
      <c r="K275" s="11"/>
      <c r="L275" s="15"/>
      <c r="M275" s="15"/>
      <c r="N275" s="15"/>
      <c r="O275" s="15"/>
      <c r="P275" s="15"/>
      <c r="Q275" s="11"/>
      <c r="R275" s="11"/>
      <c r="S275" s="11"/>
      <c r="T275" s="11"/>
      <c r="U275" s="15"/>
      <c r="V275" s="11"/>
      <c r="W275" s="11"/>
      <c r="X275" s="11"/>
      <c r="Y275" s="11"/>
      <c r="Z275" s="11"/>
    </row>
    <row r="276">
      <c r="A276" s="18"/>
      <c r="B276" s="11"/>
      <c r="C276" s="11"/>
      <c r="D276" s="11"/>
      <c r="E276" s="11"/>
      <c r="F276" s="11"/>
      <c r="G276" s="11"/>
      <c r="H276" s="11"/>
      <c r="I276" s="11"/>
      <c r="J276" s="11"/>
      <c r="K276" s="11"/>
      <c r="L276" s="15"/>
      <c r="M276" s="15"/>
      <c r="N276" s="15"/>
      <c r="O276" s="15"/>
      <c r="P276" s="15"/>
      <c r="Q276" s="11"/>
      <c r="R276" s="11"/>
      <c r="S276" s="11"/>
      <c r="T276" s="11"/>
      <c r="U276" s="15"/>
      <c r="V276" s="11"/>
      <c r="W276" s="11"/>
      <c r="X276" s="11"/>
      <c r="Y276" s="11"/>
      <c r="Z276" s="11"/>
    </row>
    <row r="277">
      <c r="A277" s="18"/>
      <c r="B277" s="11"/>
      <c r="C277" s="11"/>
      <c r="D277" s="11"/>
      <c r="E277" s="11"/>
      <c r="F277" s="11"/>
      <c r="G277" s="11"/>
      <c r="H277" s="11"/>
      <c r="I277" s="11"/>
      <c r="J277" s="11"/>
      <c r="K277" s="11"/>
      <c r="L277" s="15"/>
      <c r="M277" s="15"/>
      <c r="N277" s="15"/>
      <c r="O277" s="15"/>
      <c r="P277" s="15"/>
      <c r="Q277" s="11"/>
      <c r="R277" s="11"/>
      <c r="S277" s="11"/>
      <c r="T277" s="11"/>
      <c r="U277" s="15"/>
      <c r="V277" s="11"/>
      <c r="W277" s="11"/>
      <c r="X277" s="11"/>
      <c r="Y277" s="11"/>
      <c r="Z277" s="11"/>
    </row>
    <row r="278">
      <c r="A278" s="18"/>
      <c r="B278" s="11"/>
      <c r="C278" s="11"/>
      <c r="D278" s="11"/>
      <c r="E278" s="11"/>
      <c r="F278" s="11"/>
      <c r="G278" s="11"/>
      <c r="H278" s="11"/>
      <c r="I278" s="11"/>
      <c r="J278" s="11"/>
      <c r="K278" s="11"/>
      <c r="L278" s="15"/>
      <c r="M278" s="15"/>
      <c r="N278" s="15"/>
      <c r="O278" s="15"/>
      <c r="P278" s="15"/>
      <c r="Q278" s="11"/>
      <c r="R278" s="11"/>
      <c r="S278" s="11"/>
      <c r="T278" s="11"/>
      <c r="U278" s="15"/>
      <c r="V278" s="11"/>
      <c r="W278" s="11"/>
      <c r="X278" s="11"/>
      <c r="Y278" s="11"/>
      <c r="Z278" s="11"/>
    </row>
    <row r="279">
      <c r="A279" s="18"/>
      <c r="B279" s="11"/>
      <c r="C279" s="11"/>
      <c r="D279" s="11"/>
      <c r="E279" s="11"/>
      <c r="F279" s="11"/>
      <c r="G279" s="11"/>
      <c r="H279" s="11"/>
      <c r="I279" s="11"/>
      <c r="J279" s="11"/>
      <c r="K279" s="11"/>
      <c r="L279" s="15"/>
      <c r="M279" s="15"/>
      <c r="N279" s="15"/>
      <c r="O279" s="15"/>
      <c r="P279" s="15"/>
      <c r="Q279" s="11"/>
      <c r="R279" s="11"/>
      <c r="S279" s="11"/>
      <c r="T279" s="11"/>
      <c r="U279" s="15"/>
      <c r="V279" s="11"/>
      <c r="W279" s="11"/>
      <c r="X279" s="11"/>
      <c r="Y279" s="11"/>
      <c r="Z279" s="11"/>
    </row>
    <row r="280">
      <c r="A280" s="18"/>
      <c r="B280" s="11"/>
      <c r="C280" s="11"/>
      <c r="D280" s="11"/>
      <c r="E280" s="11"/>
      <c r="F280" s="11"/>
      <c r="G280" s="11"/>
      <c r="H280" s="11"/>
      <c r="I280" s="11"/>
      <c r="J280" s="11"/>
      <c r="K280" s="11"/>
      <c r="L280" s="15"/>
      <c r="M280" s="15"/>
      <c r="N280" s="15"/>
      <c r="O280" s="15"/>
      <c r="P280" s="15"/>
      <c r="Q280" s="11"/>
      <c r="R280" s="11"/>
      <c r="S280" s="11"/>
      <c r="T280" s="11"/>
      <c r="U280" s="15"/>
      <c r="V280" s="11"/>
      <c r="W280" s="11"/>
      <c r="X280" s="11"/>
      <c r="Y280" s="11"/>
      <c r="Z280" s="11"/>
    </row>
    <row r="281">
      <c r="A281" s="18"/>
      <c r="B281" s="11"/>
      <c r="C281" s="11"/>
      <c r="D281" s="11"/>
      <c r="E281" s="11"/>
      <c r="F281" s="11"/>
      <c r="G281" s="11"/>
      <c r="H281" s="11"/>
      <c r="I281" s="11"/>
      <c r="J281" s="11"/>
      <c r="K281" s="11"/>
      <c r="L281" s="15"/>
      <c r="M281" s="15"/>
      <c r="N281" s="15"/>
      <c r="O281" s="15"/>
      <c r="P281" s="15"/>
      <c r="Q281" s="11"/>
      <c r="R281" s="11"/>
      <c r="S281" s="11"/>
      <c r="T281" s="11"/>
      <c r="U281" s="15"/>
      <c r="V281" s="11"/>
      <c r="W281" s="11"/>
      <c r="X281" s="11"/>
      <c r="Y281" s="11"/>
      <c r="Z281" s="11"/>
    </row>
    <row r="282">
      <c r="A282" s="18"/>
      <c r="B282" s="11"/>
      <c r="C282" s="11"/>
      <c r="D282" s="11"/>
      <c r="E282" s="11"/>
      <c r="F282" s="11"/>
      <c r="G282" s="11"/>
      <c r="H282" s="11"/>
      <c r="I282" s="11"/>
      <c r="J282" s="11"/>
      <c r="K282" s="11"/>
      <c r="L282" s="15"/>
      <c r="M282" s="15"/>
      <c r="N282" s="15"/>
      <c r="O282" s="15"/>
      <c r="P282" s="15"/>
      <c r="Q282" s="11"/>
      <c r="R282" s="11"/>
      <c r="S282" s="11"/>
      <c r="T282" s="11"/>
      <c r="U282" s="15"/>
      <c r="V282" s="11"/>
      <c r="W282" s="11"/>
      <c r="X282" s="11"/>
      <c r="Y282" s="11"/>
      <c r="Z282" s="11"/>
    </row>
    <row r="283">
      <c r="A283" s="18"/>
      <c r="B283" s="11"/>
      <c r="C283" s="11"/>
      <c r="D283" s="11"/>
      <c r="E283" s="11"/>
      <c r="F283" s="11"/>
      <c r="G283" s="11"/>
      <c r="H283" s="11"/>
      <c r="I283" s="11"/>
      <c r="J283" s="11"/>
      <c r="K283" s="11"/>
      <c r="L283" s="15"/>
      <c r="M283" s="15"/>
      <c r="N283" s="15"/>
      <c r="O283" s="15"/>
      <c r="P283" s="15"/>
      <c r="Q283" s="11"/>
      <c r="R283" s="11"/>
      <c r="S283" s="11"/>
      <c r="T283" s="11"/>
      <c r="U283" s="15"/>
      <c r="V283" s="11"/>
      <c r="W283" s="11"/>
      <c r="X283" s="11"/>
      <c r="Y283" s="11"/>
      <c r="Z283" s="11"/>
    </row>
    <row r="284">
      <c r="A284" s="18"/>
      <c r="B284" s="11"/>
      <c r="C284" s="11"/>
      <c r="D284" s="11"/>
      <c r="E284" s="11"/>
      <c r="F284" s="11"/>
      <c r="G284" s="11"/>
      <c r="H284" s="11"/>
      <c r="I284" s="11"/>
      <c r="J284" s="11"/>
      <c r="K284" s="11"/>
      <c r="L284" s="15"/>
      <c r="M284" s="15"/>
      <c r="N284" s="15"/>
      <c r="O284" s="15"/>
      <c r="P284" s="15"/>
      <c r="Q284" s="11"/>
      <c r="R284" s="11"/>
      <c r="S284" s="11"/>
      <c r="T284" s="11"/>
      <c r="U284" s="15"/>
      <c r="V284" s="11"/>
      <c r="W284" s="11"/>
      <c r="X284" s="11"/>
      <c r="Y284" s="11"/>
      <c r="Z284" s="11"/>
    </row>
    <row r="285">
      <c r="A285" s="18"/>
      <c r="B285" s="11"/>
      <c r="C285" s="11"/>
      <c r="D285" s="11"/>
      <c r="E285" s="11"/>
      <c r="F285" s="11"/>
      <c r="G285" s="11"/>
      <c r="H285" s="11"/>
      <c r="I285" s="11"/>
      <c r="J285" s="11"/>
      <c r="K285" s="11"/>
      <c r="L285" s="15"/>
      <c r="M285" s="15"/>
      <c r="N285" s="15"/>
      <c r="O285" s="15"/>
      <c r="P285" s="15"/>
      <c r="Q285" s="11"/>
      <c r="R285" s="11"/>
      <c r="S285" s="11"/>
      <c r="T285" s="11"/>
      <c r="U285" s="15"/>
      <c r="V285" s="11"/>
      <c r="W285" s="11"/>
      <c r="X285" s="11"/>
      <c r="Y285" s="11"/>
      <c r="Z285" s="11"/>
    </row>
    <row r="286">
      <c r="A286" s="18"/>
      <c r="B286" s="11"/>
      <c r="C286" s="11"/>
      <c r="D286" s="11"/>
      <c r="E286" s="11"/>
      <c r="F286" s="11"/>
      <c r="G286" s="11"/>
      <c r="H286" s="11"/>
      <c r="I286" s="11"/>
      <c r="J286" s="11"/>
      <c r="K286" s="11"/>
      <c r="L286" s="15"/>
      <c r="M286" s="15"/>
      <c r="N286" s="15"/>
      <c r="O286" s="15"/>
      <c r="P286" s="15"/>
      <c r="Q286" s="11"/>
      <c r="R286" s="11"/>
      <c r="S286" s="11"/>
      <c r="T286" s="11"/>
      <c r="U286" s="15"/>
      <c r="V286" s="11"/>
      <c r="W286" s="11"/>
      <c r="X286" s="11"/>
      <c r="Y286" s="11"/>
      <c r="Z286" s="11"/>
    </row>
    <row r="287">
      <c r="A287" s="18"/>
      <c r="B287" s="11"/>
      <c r="C287" s="11"/>
      <c r="D287" s="11"/>
      <c r="E287" s="11"/>
      <c r="F287" s="11"/>
      <c r="G287" s="11"/>
      <c r="H287" s="11"/>
      <c r="I287" s="11"/>
      <c r="J287" s="11"/>
      <c r="K287" s="11"/>
      <c r="L287" s="15"/>
      <c r="M287" s="15"/>
      <c r="N287" s="15"/>
      <c r="O287" s="15"/>
      <c r="P287" s="15"/>
      <c r="Q287" s="11"/>
      <c r="R287" s="11"/>
      <c r="S287" s="11"/>
      <c r="T287" s="11"/>
      <c r="U287" s="15"/>
      <c r="V287" s="11"/>
      <c r="W287" s="11"/>
      <c r="X287" s="11"/>
      <c r="Y287" s="11"/>
      <c r="Z287" s="11"/>
    </row>
    <row r="288">
      <c r="A288" s="18"/>
      <c r="B288" s="11"/>
      <c r="C288" s="11"/>
      <c r="D288" s="11"/>
      <c r="E288" s="11"/>
      <c r="F288" s="11"/>
      <c r="G288" s="11"/>
      <c r="H288" s="11"/>
      <c r="I288" s="11"/>
      <c r="J288" s="11"/>
      <c r="K288" s="11"/>
      <c r="L288" s="15"/>
      <c r="M288" s="15"/>
      <c r="N288" s="15"/>
      <c r="O288" s="15"/>
      <c r="P288" s="15"/>
      <c r="Q288" s="11"/>
      <c r="R288" s="11"/>
      <c r="S288" s="11"/>
      <c r="T288" s="11"/>
      <c r="U288" s="15"/>
      <c r="V288" s="11"/>
      <c r="W288" s="11"/>
      <c r="X288" s="11"/>
      <c r="Y288" s="11"/>
      <c r="Z288" s="11"/>
    </row>
    <row r="289">
      <c r="A289" s="18"/>
      <c r="B289" s="11"/>
      <c r="C289" s="11"/>
      <c r="D289" s="11"/>
      <c r="E289" s="11"/>
      <c r="F289" s="11"/>
      <c r="G289" s="11"/>
      <c r="H289" s="11"/>
      <c r="I289" s="11"/>
      <c r="J289" s="11"/>
      <c r="K289" s="11"/>
      <c r="L289" s="15"/>
      <c r="M289" s="15"/>
      <c r="N289" s="15"/>
      <c r="O289" s="15"/>
      <c r="P289" s="15"/>
      <c r="Q289" s="11"/>
      <c r="R289" s="11"/>
      <c r="S289" s="11"/>
      <c r="T289" s="11"/>
      <c r="U289" s="15"/>
      <c r="V289" s="11"/>
      <c r="W289" s="11"/>
      <c r="X289" s="11"/>
      <c r="Y289" s="11"/>
      <c r="Z289" s="11"/>
    </row>
    <row r="290">
      <c r="A290" s="18"/>
      <c r="B290" s="11"/>
      <c r="C290" s="11"/>
      <c r="D290" s="11"/>
      <c r="E290" s="11"/>
      <c r="F290" s="11"/>
      <c r="G290" s="11"/>
      <c r="H290" s="11"/>
      <c r="I290" s="11"/>
      <c r="J290" s="11"/>
      <c r="K290" s="11"/>
      <c r="L290" s="15"/>
      <c r="M290" s="15"/>
      <c r="N290" s="15"/>
      <c r="O290" s="15"/>
      <c r="P290" s="15"/>
      <c r="Q290" s="11"/>
      <c r="R290" s="11"/>
      <c r="S290" s="11"/>
      <c r="T290" s="11"/>
      <c r="U290" s="15"/>
      <c r="V290" s="11"/>
      <c r="W290" s="11"/>
      <c r="X290" s="11"/>
      <c r="Y290" s="11"/>
      <c r="Z290" s="11"/>
    </row>
    <row r="291">
      <c r="A291" s="18"/>
      <c r="B291" s="11"/>
      <c r="C291" s="11"/>
      <c r="D291" s="11"/>
      <c r="E291" s="11"/>
      <c r="F291" s="11"/>
      <c r="G291" s="11"/>
      <c r="H291" s="11"/>
      <c r="I291" s="11"/>
      <c r="J291" s="11"/>
      <c r="K291" s="11"/>
      <c r="L291" s="15"/>
      <c r="M291" s="15"/>
      <c r="N291" s="15"/>
      <c r="O291" s="15"/>
      <c r="P291" s="15"/>
      <c r="Q291" s="11"/>
      <c r="R291" s="11"/>
      <c r="S291" s="11"/>
      <c r="T291" s="11"/>
      <c r="U291" s="15"/>
      <c r="V291" s="11"/>
      <c r="W291" s="11"/>
      <c r="X291" s="11"/>
      <c r="Y291" s="11"/>
      <c r="Z291" s="11"/>
    </row>
    <row r="292">
      <c r="A292" s="18"/>
      <c r="B292" s="11"/>
      <c r="C292" s="11"/>
      <c r="D292" s="11"/>
      <c r="E292" s="11"/>
      <c r="F292" s="11"/>
      <c r="G292" s="11"/>
      <c r="H292" s="11"/>
      <c r="I292" s="11"/>
      <c r="J292" s="11"/>
      <c r="K292" s="11"/>
      <c r="L292" s="15"/>
      <c r="M292" s="15"/>
      <c r="N292" s="15"/>
      <c r="O292" s="15"/>
      <c r="P292" s="15"/>
      <c r="Q292" s="11"/>
      <c r="R292" s="11"/>
      <c r="S292" s="11"/>
      <c r="T292" s="11"/>
      <c r="U292" s="15"/>
      <c r="V292" s="11"/>
      <c r="W292" s="11"/>
      <c r="X292" s="11"/>
      <c r="Y292" s="11"/>
      <c r="Z292" s="11"/>
    </row>
    <row r="293">
      <c r="A293" s="18"/>
      <c r="B293" s="11"/>
      <c r="C293" s="11"/>
      <c r="D293" s="11"/>
      <c r="E293" s="11"/>
      <c r="F293" s="11"/>
      <c r="G293" s="11"/>
      <c r="H293" s="11"/>
      <c r="I293" s="11"/>
      <c r="J293" s="11"/>
      <c r="K293" s="11"/>
      <c r="L293" s="15"/>
      <c r="M293" s="15"/>
      <c r="N293" s="15"/>
      <c r="O293" s="15"/>
      <c r="P293" s="15"/>
      <c r="Q293" s="11"/>
      <c r="R293" s="11"/>
      <c r="S293" s="11"/>
      <c r="T293" s="11"/>
      <c r="U293" s="15"/>
      <c r="V293" s="11"/>
      <c r="W293" s="11"/>
      <c r="X293" s="11"/>
      <c r="Y293" s="11"/>
      <c r="Z293" s="11"/>
    </row>
    <row r="294">
      <c r="A294" s="18"/>
      <c r="B294" s="11"/>
      <c r="C294" s="11"/>
      <c r="D294" s="11"/>
      <c r="E294" s="11"/>
      <c r="F294" s="11"/>
      <c r="G294" s="11"/>
      <c r="H294" s="11"/>
      <c r="I294" s="11"/>
      <c r="J294" s="11"/>
      <c r="K294" s="11"/>
      <c r="L294" s="15"/>
      <c r="M294" s="15"/>
      <c r="N294" s="15"/>
      <c r="O294" s="15"/>
      <c r="P294" s="15"/>
      <c r="Q294" s="11"/>
      <c r="R294" s="11"/>
      <c r="S294" s="11"/>
      <c r="T294" s="11"/>
      <c r="U294" s="15"/>
      <c r="V294" s="11"/>
      <c r="W294" s="11"/>
      <c r="X294" s="11"/>
      <c r="Y294" s="11"/>
      <c r="Z294" s="11"/>
    </row>
    <row r="295">
      <c r="A295" s="18"/>
      <c r="B295" s="11"/>
      <c r="C295" s="11"/>
      <c r="D295" s="11"/>
      <c r="E295" s="11"/>
      <c r="F295" s="11"/>
      <c r="G295" s="11"/>
      <c r="H295" s="11"/>
      <c r="I295" s="11"/>
      <c r="J295" s="11"/>
      <c r="K295" s="11"/>
      <c r="L295" s="15"/>
      <c r="M295" s="15"/>
      <c r="N295" s="15"/>
      <c r="O295" s="15"/>
      <c r="P295" s="15"/>
      <c r="Q295" s="11"/>
      <c r="R295" s="11"/>
      <c r="S295" s="11"/>
      <c r="T295" s="11"/>
      <c r="U295" s="15"/>
      <c r="V295" s="11"/>
      <c r="W295" s="11"/>
      <c r="X295" s="11"/>
      <c r="Y295" s="11"/>
      <c r="Z295" s="11"/>
    </row>
    <row r="296">
      <c r="A296" s="18"/>
      <c r="B296" s="11"/>
      <c r="C296" s="11"/>
      <c r="D296" s="11"/>
      <c r="E296" s="11"/>
      <c r="F296" s="11"/>
      <c r="G296" s="11"/>
      <c r="H296" s="11"/>
      <c r="I296" s="11"/>
      <c r="J296" s="11"/>
      <c r="K296" s="11"/>
      <c r="L296" s="15"/>
      <c r="M296" s="15"/>
      <c r="N296" s="15"/>
      <c r="O296" s="15"/>
      <c r="P296" s="15"/>
      <c r="Q296" s="11"/>
      <c r="R296" s="11"/>
      <c r="S296" s="11"/>
      <c r="T296" s="11"/>
      <c r="U296" s="15"/>
      <c r="V296" s="11"/>
      <c r="W296" s="11"/>
      <c r="X296" s="11"/>
      <c r="Y296" s="11"/>
      <c r="Z296" s="11"/>
    </row>
    <row r="297">
      <c r="A297" s="18"/>
      <c r="B297" s="11"/>
      <c r="C297" s="11"/>
      <c r="D297" s="11"/>
      <c r="E297" s="11"/>
      <c r="F297" s="11"/>
      <c r="G297" s="11"/>
      <c r="H297" s="11"/>
      <c r="I297" s="11"/>
      <c r="J297" s="11"/>
      <c r="K297" s="11"/>
      <c r="L297" s="15"/>
      <c r="M297" s="15"/>
      <c r="N297" s="15"/>
      <c r="O297" s="15"/>
      <c r="P297" s="15"/>
      <c r="Q297" s="11"/>
      <c r="R297" s="11"/>
      <c r="S297" s="11"/>
      <c r="T297" s="11"/>
      <c r="U297" s="15"/>
      <c r="V297" s="11"/>
      <c r="W297" s="11"/>
      <c r="X297" s="11"/>
      <c r="Y297" s="11"/>
      <c r="Z297" s="11"/>
    </row>
    <row r="298">
      <c r="A298" s="18"/>
      <c r="B298" s="11"/>
      <c r="C298" s="11"/>
      <c r="D298" s="11"/>
      <c r="E298" s="11"/>
      <c r="F298" s="11"/>
      <c r="G298" s="11"/>
      <c r="H298" s="11"/>
      <c r="I298" s="11"/>
      <c r="J298" s="11"/>
      <c r="K298" s="11"/>
      <c r="L298" s="15"/>
      <c r="M298" s="15"/>
      <c r="N298" s="15"/>
      <c r="O298" s="15"/>
      <c r="P298" s="15"/>
      <c r="Q298" s="11"/>
      <c r="R298" s="11"/>
      <c r="S298" s="11"/>
      <c r="T298" s="11"/>
      <c r="U298" s="15"/>
      <c r="V298" s="11"/>
      <c r="W298" s="11"/>
      <c r="X298" s="11"/>
      <c r="Y298" s="11"/>
      <c r="Z298" s="11"/>
    </row>
    <row r="299">
      <c r="A299" s="18"/>
      <c r="B299" s="11"/>
      <c r="C299" s="11"/>
      <c r="D299" s="11"/>
      <c r="E299" s="11"/>
      <c r="F299" s="11"/>
      <c r="G299" s="11"/>
      <c r="H299" s="11"/>
      <c r="I299" s="11"/>
      <c r="J299" s="11"/>
      <c r="K299" s="11"/>
      <c r="L299" s="15"/>
      <c r="M299" s="15"/>
      <c r="N299" s="15"/>
      <c r="O299" s="15"/>
      <c r="P299" s="15"/>
      <c r="Q299" s="11"/>
      <c r="R299" s="11"/>
      <c r="S299" s="11"/>
      <c r="T299" s="11"/>
      <c r="U299" s="15"/>
      <c r="V299" s="11"/>
      <c r="W299" s="11"/>
      <c r="X299" s="11"/>
      <c r="Y299" s="11"/>
      <c r="Z299" s="11"/>
    </row>
    <row r="300">
      <c r="A300" s="18"/>
      <c r="B300" s="11"/>
      <c r="C300" s="11"/>
      <c r="D300" s="11"/>
      <c r="E300" s="11"/>
      <c r="F300" s="11"/>
      <c r="G300" s="11"/>
      <c r="H300" s="11"/>
      <c r="I300" s="11"/>
      <c r="J300" s="11"/>
      <c r="K300" s="11"/>
      <c r="L300" s="15"/>
      <c r="M300" s="15"/>
      <c r="N300" s="15"/>
      <c r="O300" s="15"/>
      <c r="P300" s="15"/>
      <c r="Q300" s="11"/>
      <c r="R300" s="11"/>
      <c r="S300" s="11"/>
      <c r="T300" s="11"/>
      <c r="U300" s="15"/>
      <c r="V300" s="11"/>
      <c r="W300" s="11"/>
      <c r="X300" s="11"/>
      <c r="Y300" s="11"/>
      <c r="Z300" s="11"/>
    </row>
    <row r="301">
      <c r="A301" s="18"/>
      <c r="B301" s="11"/>
      <c r="C301" s="11"/>
      <c r="D301" s="11"/>
      <c r="E301" s="11"/>
      <c r="F301" s="11"/>
      <c r="G301" s="11"/>
      <c r="H301" s="11"/>
      <c r="I301" s="11"/>
      <c r="J301" s="11"/>
      <c r="K301" s="11"/>
      <c r="L301" s="15"/>
      <c r="M301" s="15"/>
      <c r="N301" s="15"/>
      <c r="O301" s="15"/>
      <c r="P301" s="15"/>
      <c r="Q301" s="11"/>
      <c r="R301" s="11"/>
      <c r="S301" s="11"/>
      <c r="T301" s="11"/>
      <c r="U301" s="15"/>
      <c r="V301" s="11"/>
      <c r="W301" s="11"/>
      <c r="X301" s="11"/>
      <c r="Y301" s="11"/>
      <c r="Z301" s="11"/>
    </row>
    <row r="302">
      <c r="A302" s="18"/>
      <c r="B302" s="11"/>
      <c r="C302" s="11"/>
      <c r="D302" s="11"/>
      <c r="E302" s="11"/>
      <c r="F302" s="11"/>
      <c r="G302" s="11"/>
      <c r="H302" s="11"/>
      <c r="I302" s="11"/>
      <c r="J302" s="11"/>
      <c r="K302" s="11"/>
      <c r="L302" s="15"/>
      <c r="M302" s="15"/>
      <c r="N302" s="15"/>
      <c r="O302" s="15"/>
      <c r="P302" s="15"/>
      <c r="Q302" s="11"/>
      <c r="R302" s="11"/>
      <c r="S302" s="11"/>
      <c r="T302" s="11"/>
      <c r="U302" s="15"/>
      <c r="V302" s="11"/>
      <c r="W302" s="11"/>
      <c r="X302" s="11"/>
      <c r="Y302" s="11"/>
      <c r="Z302" s="11"/>
    </row>
    <row r="303">
      <c r="A303" s="18"/>
      <c r="B303" s="11"/>
      <c r="C303" s="11"/>
      <c r="D303" s="11"/>
      <c r="E303" s="11"/>
      <c r="F303" s="11"/>
      <c r="G303" s="11"/>
      <c r="H303" s="11"/>
      <c r="I303" s="11"/>
      <c r="J303" s="11"/>
      <c r="K303" s="11"/>
      <c r="L303" s="15"/>
      <c r="M303" s="15"/>
      <c r="N303" s="15"/>
      <c r="O303" s="15"/>
      <c r="P303" s="15"/>
      <c r="Q303" s="11"/>
      <c r="R303" s="11"/>
      <c r="S303" s="11"/>
      <c r="T303" s="11"/>
      <c r="U303" s="15"/>
      <c r="V303" s="11"/>
      <c r="W303" s="11"/>
      <c r="X303" s="11"/>
      <c r="Y303" s="11"/>
      <c r="Z303" s="11"/>
    </row>
    <row r="304">
      <c r="A304" s="18"/>
      <c r="B304" s="11"/>
      <c r="C304" s="11"/>
      <c r="D304" s="11"/>
      <c r="E304" s="11"/>
      <c r="F304" s="11"/>
      <c r="G304" s="11"/>
      <c r="H304" s="11"/>
      <c r="I304" s="11"/>
      <c r="J304" s="11"/>
      <c r="K304" s="11"/>
      <c r="L304" s="15"/>
      <c r="M304" s="15"/>
      <c r="N304" s="15"/>
      <c r="O304" s="15"/>
      <c r="P304" s="15"/>
      <c r="Q304" s="11"/>
      <c r="R304" s="11"/>
      <c r="S304" s="11"/>
      <c r="T304" s="11"/>
      <c r="U304" s="15"/>
      <c r="V304" s="11"/>
      <c r="W304" s="11"/>
      <c r="X304" s="11"/>
      <c r="Y304" s="11"/>
      <c r="Z304" s="11"/>
    </row>
    <row r="305">
      <c r="A305" s="18"/>
      <c r="B305" s="11"/>
      <c r="C305" s="11"/>
      <c r="D305" s="11"/>
      <c r="E305" s="11"/>
      <c r="F305" s="11"/>
      <c r="G305" s="11"/>
      <c r="H305" s="11"/>
      <c r="I305" s="11"/>
      <c r="J305" s="11"/>
      <c r="K305" s="11"/>
      <c r="L305" s="15"/>
      <c r="M305" s="15"/>
      <c r="N305" s="15"/>
      <c r="O305" s="15"/>
      <c r="P305" s="15"/>
      <c r="Q305" s="11"/>
      <c r="R305" s="11"/>
      <c r="S305" s="11"/>
      <c r="T305" s="11"/>
      <c r="U305" s="15"/>
      <c r="V305" s="11"/>
      <c r="W305" s="11"/>
      <c r="X305" s="11"/>
      <c r="Y305" s="11"/>
      <c r="Z305" s="11"/>
    </row>
    <row r="306">
      <c r="A306" s="18"/>
      <c r="B306" s="11"/>
      <c r="C306" s="11"/>
      <c r="D306" s="11"/>
      <c r="E306" s="11"/>
      <c r="F306" s="11"/>
      <c r="G306" s="11"/>
      <c r="H306" s="11"/>
      <c r="I306" s="11"/>
      <c r="J306" s="11"/>
      <c r="K306" s="11"/>
      <c r="L306" s="15"/>
      <c r="M306" s="15"/>
      <c r="N306" s="15"/>
      <c r="O306" s="15"/>
      <c r="P306" s="15"/>
      <c r="Q306" s="11"/>
      <c r="R306" s="11"/>
      <c r="S306" s="11"/>
      <c r="T306" s="11"/>
      <c r="U306" s="15"/>
      <c r="V306" s="11"/>
      <c r="W306" s="11"/>
      <c r="X306" s="11"/>
      <c r="Y306" s="11"/>
      <c r="Z306" s="11"/>
    </row>
    <row r="307">
      <c r="A307" s="18"/>
      <c r="B307" s="11"/>
      <c r="C307" s="11"/>
      <c r="D307" s="11"/>
      <c r="E307" s="11"/>
      <c r="F307" s="11"/>
      <c r="G307" s="11"/>
      <c r="H307" s="11"/>
      <c r="I307" s="11"/>
      <c r="J307" s="11"/>
      <c r="K307" s="11"/>
      <c r="L307" s="15"/>
      <c r="M307" s="15"/>
      <c r="N307" s="15"/>
      <c r="O307" s="15"/>
      <c r="P307" s="15"/>
      <c r="Q307" s="11"/>
      <c r="R307" s="11"/>
      <c r="S307" s="11"/>
      <c r="T307" s="11"/>
      <c r="U307" s="15"/>
      <c r="V307" s="11"/>
      <c r="W307" s="11"/>
      <c r="X307" s="11"/>
      <c r="Y307" s="11"/>
      <c r="Z307" s="11"/>
    </row>
    <row r="308">
      <c r="A308" s="18"/>
      <c r="B308" s="11"/>
      <c r="C308" s="11"/>
      <c r="D308" s="11"/>
      <c r="E308" s="11"/>
      <c r="F308" s="11"/>
      <c r="G308" s="11"/>
      <c r="H308" s="11"/>
      <c r="I308" s="11"/>
      <c r="J308" s="11"/>
      <c r="K308" s="11"/>
      <c r="L308" s="15"/>
      <c r="M308" s="15"/>
      <c r="N308" s="15"/>
      <c r="O308" s="15"/>
      <c r="P308" s="15"/>
      <c r="Q308" s="11"/>
      <c r="R308" s="11"/>
      <c r="S308" s="11"/>
      <c r="T308" s="11"/>
      <c r="U308" s="15"/>
      <c r="V308" s="11"/>
      <c r="W308" s="11"/>
      <c r="X308" s="11"/>
      <c r="Y308" s="11"/>
      <c r="Z308" s="11"/>
    </row>
    <row r="309">
      <c r="A309" s="18"/>
      <c r="B309" s="11"/>
      <c r="C309" s="11"/>
      <c r="D309" s="11"/>
      <c r="E309" s="11"/>
      <c r="F309" s="11"/>
      <c r="G309" s="11"/>
      <c r="H309" s="11"/>
      <c r="I309" s="11"/>
      <c r="J309" s="11"/>
      <c r="K309" s="11"/>
      <c r="L309" s="15"/>
      <c r="M309" s="15"/>
      <c r="N309" s="15"/>
      <c r="O309" s="15"/>
      <c r="P309" s="15"/>
      <c r="Q309" s="11"/>
      <c r="R309" s="11"/>
      <c r="S309" s="11"/>
      <c r="T309" s="11"/>
      <c r="U309" s="15"/>
      <c r="V309" s="11"/>
      <c r="W309" s="11"/>
      <c r="X309" s="11"/>
      <c r="Y309" s="11"/>
      <c r="Z309" s="11"/>
    </row>
    <row r="310">
      <c r="A310" s="18"/>
      <c r="B310" s="11"/>
      <c r="C310" s="11"/>
      <c r="D310" s="11"/>
      <c r="E310" s="11"/>
      <c r="F310" s="11"/>
      <c r="G310" s="11"/>
      <c r="H310" s="11"/>
      <c r="I310" s="11"/>
      <c r="J310" s="11"/>
      <c r="K310" s="11"/>
      <c r="L310" s="15"/>
      <c r="M310" s="15"/>
      <c r="N310" s="15"/>
      <c r="O310" s="15"/>
      <c r="P310" s="15"/>
      <c r="Q310" s="11"/>
      <c r="R310" s="11"/>
      <c r="S310" s="11"/>
      <c r="T310" s="11"/>
      <c r="U310" s="15"/>
      <c r="V310" s="11"/>
      <c r="W310" s="11"/>
      <c r="X310" s="11"/>
      <c r="Y310" s="11"/>
      <c r="Z310" s="11"/>
    </row>
    <row r="311">
      <c r="A311" s="18"/>
      <c r="B311" s="11"/>
      <c r="C311" s="11"/>
      <c r="D311" s="11"/>
      <c r="E311" s="11"/>
      <c r="F311" s="11"/>
      <c r="G311" s="11"/>
      <c r="H311" s="11"/>
      <c r="I311" s="11"/>
      <c r="J311" s="11"/>
      <c r="K311" s="11"/>
      <c r="L311" s="15"/>
      <c r="M311" s="15"/>
      <c r="N311" s="15"/>
      <c r="O311" s="15"/>
      <c r="P311" s="15"/>
      <c r="Q311" s="11"/>
      <c r="R311" s="11"/>
      <c r="S311" s="11"/>
      <c r="T311" s="11"/>
      <c r="U311" s="15"/>
      <c r="V311" s="11"/>
      <c r="W311" s="11"/>
      <c r="X311" s="11"/>
      <c r="Y311" s="11"/>
      <c r="Z311" s="11"/>
    </row>
    <row r="312">
      <c r="A312" s="18"/>
      <c r="B312" s="11"/>
      <c r="C312" s="11"/>
      <c r="D312" s="11"/>
      <c r="E312" s="11"/>
      <c r="F312" s="11"/>
      <c r="G312" s="11"/>
      <c r="H312" s="11"/>
      <c r="I312" s="11"/>
      <c r="J312" s="11"/>
      <c r="K312" s="11"/>
      <c r="L312" s="15"/>
      <c r="M312" s="15"/>
      <c r="N312" s="15"/>
      <c r="O312" s="15"/>
      <c r="P312" s="15"/>
      <c r="Q312" s="11"/>
      <c r="R312" s="11"/>
      <c r="S312" s="11"/>
      <c r="T312" s="11"/>
      <c r="U312" s="15"/>
      <c r="V312" s="11"/>
      <c r="W312" s="11"/>
      <c r="X312" s="11"/>
      <c r="Y312" s="11"/>
      <c r="Z312" s="11"/>
    </row>
    <row r="313">
      <c r="A313" s="18"/>
      <c r="B313" s="11"/>
      <c r="C313" s="11"/>
      <c r="D313" s="11"/>
      <c r="E313" s="11"/>
      <c r="F313" s="11"/>
      <c r="G313" s="11"/>
      <c r="H313" s="11"/>
      <c r="I313" s="11"/>
      <c r="J313" s="11"/>
      <c r="K313" s="11"/>
      <c r="L313" s="15"/>
      <c r="M313" s="15"/>
      <c r="N313" s="15"/>
      <c r="O313" s="15"/>
      <c r="P313" s="15"/>
      <c r="Q313" s="11"/>
      <c r="R313" s="11"/>
      <c r="S313" s="11"/>
      <c r="T313" s="11"/>
      <c r="U313" s="15"/>
      <c r="V313" s="11"/>
      <c r="W313" s="11"/>
      <c r="X313" s="11"/>
      <c r="Y313" s="11"/>
      <c r="Z313" s="11"/>
    </row>
    <row r="314">
      <c r="A314" s="18"/>
      <c r="B314" s="11"/>
      <c r="C314" s="11"/>
      <c r="D314" s="11"/>
      <c r="E314" s="11"/>
      <c r="F314" s="11"/>
      <c r="G314" s="11"/>
      <c r="H314" s="11"/>
      <c r="I314" s="11"/>
      <c r="J314" s="11"/>
      <c r="K314" s="11"/>
      <c r="L314" s="15"/>
      <c r="M314" s="15"/>
      <c r="N314" s="15"/>
      <c r="O314" s="15"/>
      <c r="P314" s="15"/>
      <c r="Q314" s="11"/>
      <c r="R314" s="11"/>
      <c r="S314" s="11"/>
      <c r="T314" s="11"/>
      <c r="U314" s="15"/>
      <c r="V314" s="11"/>
      <c r="W314" s="11"/>
      <c r="X314" s="11"/>
      <c r="Y314" s="11"/>
      <c r="Z314" s="11"/>
    </row>
    <row r="315">
      <c r="A315" s="18"/>
      <c r="B315" s="11"/>
      <c r="C315" s="11"/>
      <c r="D315" s="11"/>
      <c r="E315" s="11"/>
      <c r="F315" s="11"/>
      <c r="G315" s="11"/>
      <c r="H315" s="11"/>
      <c r="I315" s="11"/>
      <c r="J315" s="11"/>
      <c r="K315" s="11"/>
      <c r="L315" s="15"/>
      <c r="M315" s="15"/>
      <c r="N315" s="15"/>
      <c r="O315" s="15"/>
      <c r="P315" s="15"/>
      <c r="Q315" s="11"/>
      <c r="R315" s="11"/>
      <c r="S315" s="11"/>
      <c r="T315" s="11"/>
      <c r="U315" s="15"/>
      <c r="V315" s="11"/>
      <c r="W315" s="11"/>
      <c r="X315" s="11"/>
      <c r="Y315" s="11"/>
      <c r="Z315" s="11"/>
    </row>
    <row r="316">
      <c r="A316" s="18"/>
      <c r="B316" s="11"/>
      <c r="C316" s="11"/>
      <c r="D316" s="11"/>
      <c r="E316" s="11"/>
      <c r="F316" s="11"/>
      <c r="G316" s="11"/>
      <c r="H316" s="11"/>
      <c r="I316" s="11"/>
      <c r="J316" s="11"/>
      <c r="K316" s="11"/>
      <c r="L316" s="15"/>
      <c r="M316" s="15"/>
      <c r="N316" s="15"/>
      <c r="O316" s="15"/>
      <c r="P316" s="15"/>
      <c r="Q316" s="11"/>
      <c r="R316" s="11"/>
      <c r="S316" s="11"/>
      <c r="T316" s="11"/>
      <c r="U316" s="15"/>
      <c r="V316" s="11"/>
      <c r="W316" s="11"/>
      <c r="X316" s="11"/>
      <c r="Y316" s="11"/>
      <c r="Z316" s="11"/>
    </row>
    <row r="317">
      <c r="A317" s="18"/>
      <c r="B317" s="11"/>
      <c r="C317" s="11"/>
      <c r="D317" s="11"/>
      <c r="E317" s="11"/>
      <c r="F317" s="11"/>
      <c r="G317" s="11"/>
      <c r="H317" s="11"/>
      <c r="I317" s="11"/>
      <c r="J317" s="11"/>
      <c r="K317" s="11"/>
      <c r="L317" s="15"/>
      <c r="M317" s="15"/>
      <c r="N317" s="15"/>
      <c r="O317" s="15"/>
      <c r="P317" s="15"/>
      <c r="Q317" s="11"/>
      <c r="R317" s="11"/>
      <c r="S317" s="11"/>
      <c r="T317" s="11"/>
      <c r="U317" s="15"/>
      <c r="V317" s="11"/>
      <c r="W317" s="11"/>
      <c r="X317" s="11"/>
      <c r="Y317" s="11"/>
      <c r="Z317" s="11"/>
    </row>
    <row r="318">
      <c r="A318" s="18"/>
      <c r="B318" s="11"/>
      <c r="C318" s="11"/>
      <c r="D318" s="11"/>
      <c r="E318" s="11"/>
      <c r="F318" s="11"/>
      <c r="G318" s="11"/>
      <c r="H318" s="11"/>
      <c r="I318" s="11"/>
      <c r="J318" s="11"/>
      <c r="K318" s="11"/>
      <c r="L318" s="15"/>
      <c r="M318" s="15"/>
      <c r="N318" s="15"/>
      <c r="O318" s="15"/>
      <c r="P318" s="15"/>
      <c r="Q318" s="11"/>
      <c r="R318" s="11"/>
      <c r="S318" s="11"/>
      <c r="T318" s="11"/>
      <c r="U318" s="15"/>
      <c r="V318" s="11"/>
      <c r="W318" s="11"/>
      <c r="X318" s="11"/>
      <c r="Y318" s="11"/>
      <c r="Z318" s="11"/>
    </row>
    <row r="319">
      <c r="A319" s="18"/>
      <c r="B319" s="11"/>
      <c r="C319" s="11"/>
      <c r="D319" s="11"/>
      <c r="E319" s="11"/>
      <c r="F319" s="11"/>
      <c r="G319" s="11"/>
      <c r="H319" s="11"/>
      <c r="I319" s="11"/>
      <c r="J319" s="11"/>
      <c r="K319" s="11"/>
      <c r="L319" s="15"/>
      <c r="M319" s="15"/>
      <c r="N319" s="15"/>
      <c r="O319" s="15"/>
      <c r="P319" s="15"/>
      <c r="Q319" s="11"/>
      <c r="R319" s="11"/>
      <c r="S319" s="11"/>
      <c r="T319" s="11"/>
      <c r="U319" s="15"/>
      <c r="V319" s="11"/>
      <c r="W319" s="11"/>
      <c r="X319" s="11"/>
      <c r="Y319" s="11"/>
      <c r="Z319" s="11"/>
    </row>
    <row r="320">
      <c r="A320" s="18"/>
      <c r="B320" s="11"/>
      <c r="C320" s="11"/>
      <c r="D320" s="11"/>
      <c r="E320" s="11"/>
      <c r="F320" s="11"/>
      <c r="G320" s="11"/>
      <c r="H320" s="11"/>
      <c r="I320" s="11"/>
      <c r="J320" s="11"/>
      <c r="K320" s="11"/>
      <c r="L320" s="15"/>
      <c r="M320" s="15"/>
      <c r="N320" s="15"/>
      <c r="O320" s="15"/>
      <c r="P320" s="15"/>
      <c r="Q320" s="11"/>
      <c r="R320" s="11"/>
      <c r="S320" s="11"/>
      <c r="T320" s="11"/>
      <c r="U320" s="15"/>
      <c r="V320" s="11"/>
      <c r="W320" s="11"/>
      <c r="X320" s="11"/>
      <c r="Y320" s="11"/>
      <c r="Z320" s="11"/>
    </row>
    <row r="321">
      <c r="A321" s="18"/>
      <c r="B321" s="11"/>
      <c r="C321" s="11"/>
      <c r="D321" s="11"/>
      <c r="E321" s="11"/>
      <c r="F321" s="11"/>
      <c r="G321" s="11"/>
      <c r="H321" s="11"/>
      <c r="I321" s="11"/>
      <c r="J321" s="11"/>
      <c r="K321" s="11"/>
      <c r="L321" s="15"/>
      <c r="M321" s="15"/>
      <c r="N321" s="15"/>
      <c r="O321" s="15"/>
      <c r="P321" s="15"/>
      <c r="Q321" s="11"/>
      <c r="R321" s="11"/>
      <c r="S321" s="11"/>
      <c r="T321" s="11"/>
      <c r="U321" s="15"/>
      <c r="V321" s="11"/>
      <c r="W321" s="11"/>
      <c r="X321" s="11"/>
      <c r="Y321" s="11"/>
      <c r="Z321" s="11"/>
    </row>
    <row r="322">
      <c r="A322" s="18"/>
      <c r="B322" s="11"/>
      <c r="C322" s="11"/>
      <c r="D322" s="11"/>
      <c r="E322" s="11"/>
      <c r="F322" s="11"/>
      <c r="G322" s="11"/>
      <c r="H322" s="11"/>
      <c r="I322" s="11"/>
      <c r="J322" s="11"/>
      <c r="K322" s="11"/>
      <c r="L322" s="15"/>
      <c r="M322" s="15"/>
      <c r="N322" s="15"/>
      <c r="O322" s="15"/>
      <c r="P322" s="15"/>
      <c r="Q322" s="11"/>
      <c r="R322" s="11"/>
      <c r="S322" s="11"/>
      <c r="T322" s="11"/>
      <c r="U322" s="15"/>
      <c r="V322" s="11"/>
      <c r="W322" s="11"/>
      <c r="X322" s="11"/>
      <c r="Y322" s="11"/>
      <c r="Z322" s="11"/>
    </row>
    <row r="323">
      <c r="A323" s="18"/>
      <c r="B323" s="11"/>
      <c r="C323" s="11"/>
      <c r="D323" s="11"/>
      <c r="E323" s="11"/>
      <c r="F323" s="11"/>
      <c r="G323" s="11"/>
      <c r="H323" s="11"/>
      <c r="I323" s="11"/>
      <c r="J323" s="11"/>
      <c r="K323" s="11"/>
      <c r="L323" s="15"/>
      <c r="M323" s="15"/>
      <c r="N323" s="15"/>
      <c r="O323" s="15"/>
      <c r="P323" s="15"/>
      <c r="Q323" s="11"/>
      <c r="R323" s="11"/>
      <c r="S323" s="11"/>
      <c r="T323" s="11"/>
      <c r="U323" s="15"/>
      <c r="V323" s="11"/>
      <c r="W323" s="11"/>
      <c r="X323" s="11"/>
      <c r="Y323" s="11"/>
      <c r="Z323" s="11"/>
    </row>
    <row r="324">
      <c r="A324" s="18"/>
      <c r="B324" s="11"/>
      <c r="C324" s="11"/>
      <c r="D324" s="11"/>
      <c r="E324" s="11"/>
      <c r="F324" s="11"/>
      <c r="G324" s="11"/>
      <c r="H324" s="11"/>
      <c r="I324" s="11"/>
      <c r="J324" s="11"/>
      <c r="K324" s="11"/>
      <c r="L324" s="15"/>
      <c r="M324" s="15"/>
      <c r="N324" s="15"/>
      <c r="O324" s="15"/>
      <c r="P324" s="15"/>
      <c r="Q324" s="11"/>
      <c r="R324" s="11"/>
      <c r="S324" s="11"/>
      <c r="T324" s="11"/>
      <c r="U324" s="15"/>
      <c r="V324" s="11"/>
      <c r="W324" s="11"/>
      <c r="X324" s="11"/>
      <c r="Y324" s="11"/>
      <c r="Z324" s="11"/>
    </row>
    <row r="325">
      <c r="A325" s="18"/>
      <c r="B325" s="11"/>
      <c r="C325" s="11"/>
      <c r="D325" s="11"/>
      <c r="E325" s="11"/>
      <c r="F325" s="11"/>
      <c r="G325" s="11"/>
      <c r="H325" s="11"/>
      <c r="I325" s="11"/>
      <c r="J325" s="11"/>
      <c r="K325" s="11"/>
      <c r="L325" s="15"/>
      <c r="M325" s="15"/>
      <c r="N325" s="15"/>
      <c r="O325" s="15"/>
      <c r="P325" s="15"/>
      <c r="Q325" s="11"/>
      <c r="R325" s="11"/>
      <c r="S325" s="11"/>
      <c r="T325" s="11"/>
      <c r="U325" s="15"/>
      <c r="V325" s="11"/>
      <c r="W325" s="11"/>
      <c r="X325" s="11"/>
      <c r="Y325" s="11"/>
      <c r="Z325" s="11"/>
    </row>
    <row r="326">
      <c r="A326" s="18"/>
      <c r="B326" s="11"/>
      <c r="C326" s="11"/>
      <c r="D326" s="11"/>
      <c r="E326" s="11"/>
      <c r="F326" s="11"/>
      <c r="G326" s="11"/>
      <c r="H326" s="11"/>
      <c r="I326" s="11"/>
      <c r="J326" s="11"/>
      <c r="K326" s="11"/>
      <c r="L326" s="15"/>
      <c r="M326" s="15"/>
      <c r="N326" s="15"/>
      <c r="O326" s="15"/>
      <c r="P326" s="15"/>
      <c r="Q326" s="11"/>
      <c r="R326" s="11"/>
      <c r="S326" s="11"/>
      <c r="T326" s="11"/>
      <c r="U326" s="15"/>
      <c r="V326" s="11"/>
      <c r="W326" s="11"/>
      <c r="X326" s="11"/>
      <c r="Y326" s="11"/>
      <c r="Z326" s="11"/>
    </row>
    <row r="327">
      <c r="A327" s="18"/>
      <c r="B327" s="11"/>
      <c r="C327" s="11"/>
      <c r="D327" s="11"/>
      <c r="E327" s="11"/>
      <c r="F327" s="11"/>
      <c r="G327" s="11"/>
      <c r="H327" s="11"/>
      <c r="I327" s="11"/>
      <c r="J327" s="11"/>
      <c r="K327" s="11"/>
      <c r="L327" s="15"/>
      <c r="M327" s="15"/>
      <c r="N327" s="15"/>
      <c r="O327" s="15"/>
      <c r="P327" s="15"/>
      <c r="Q327" s="11"/>
      <c r="R327" s="11"/>
      <c r="S327" s="11"/>
      <c r="T327" s="11"/>
      <c r="U327" s="15"/>
      <c r="V327" s="11"/>
      <c r="W327" s="11"/>
      <c r="X327" s="11"/>
      <c r="Y327" s="11"/>
      <c r="Z327" s="11"/>
    </row>
    <row r="328">
      <c r="A328" s="18"/>
      <c r="B328" s="11"/>
      <c r="C328" s="11"/>
      <c r="D328" s="11"/>
      <c r="E328" s="11"/>
      <c r="F328" s="11"/>
      <c r="G328" s="11"/>
      <c r="H328" s="11"/>
      <c r="I328" s="11"/>
      <c r="J328" s="11"/>
      <c r="K328" s="11"/>
      <c r="L328" s="15"/>
      <c r="M328" s="15"/>
      <c r="N328" s="15"/>
      <c r="O328" s="15"/>
      <c r="P328" s="15"/>
      <c r="Q328" s="11"/>
      <c r="R328" s="11"/>
      <c r="S328" s="11"/>
      <c r="T328" s="11"/>
      <c r="U328" s="15"/>
      <c r="V328" s="11"/>
      <c r="W328" s="11"/>
      <c r="X328" s="11"/>
      <c r="Y328" s="11"/>
      <c r="Z328" s="11"/>
    </row>
    <row r="329">
      <c r="A329" s="18"/>
      <c r="B329" s="11"/>
      <c r="C329" s="11"/>
      <c r="D329" s="11"/>
      <c r="E329" s="11"/>
      <c r="F329" s="11"/>
      <c r="G329" s="11"/>
      <c r="H329" s="11"/>
      <c r="I329" s="11"/>
      <c r="J329" s="11"/>
      <c r="K329" s="11"/>
      <c r="L329" s="15"/>
      <c r="M329" s="15"/>
      <c r="N329" s="15"/>
      <c r="O329" s="15"/>
      <c r="P329" s="15"/>
      <c r="Q329" s="11"/>
      <c r="R329" s="11"/>
      <c r="S329" s="11"/>
      <c r="T329" s="11"/>
      <c r="U329" s="15"/>
      <c r="V329" s="11"/>
      <c r="W329" s="11"/>
      <c r="X329" s="11"/>
      <c r="Y329" s="11"/>
      <c r="Z329" s="11"/>
    </row>
    <row r="330">
      <c r="A330" s="18"/>
      <c r="B330" s="11"/>
      <c r="C330" s="11"/>
      <c r="D330" s="11"/>
      <c r="E330" s="11"/>
      <c r="F330" s="11"/>
      <c r="G330" s="11"/>
      <c r="H330" s="11"/>
      <c r="I330" s="11"/>
      <c r="J330" s="11"/>
      <c r="K330" s="11"/>
      <c r="L330" s="15"/>
      <c r="M330" s="15"/>
      <c r="N330" s="15"/>
      <c r="O330" s="15"/>
      <c r="P330" s="15"/>
      <c r="Q330" s="11"/>
      <c r="R330" s="11"/>
      <c r="S330" s="11"/>
      <c r="T330" s="11"/>
      <c r="U330" s="15"/>
      <c r="V330" s="11"/>
      <c r="W330" s="11"/>
      <c r="X330" s="11"/>
      <c r="Y330" s="11"/>
      <c r="Z330" s="11"/>
    </row>
    <row r="331">
      <c r="A331" s="18"/>
      <c r="B331" s="11"/>
      <c r="C331" s="11"/>
      <c r="D331" s="11"/>
      <c r="E331" s="11"/>
      <c r="F331" s="11"/>
      <c r="G331" s="11"/>
      <c r="H331" s="11"/>
      <c r="I331" s="11"/>
      <c r="J331" s="11"/>
      <c r="K331" s="11"/>
      <c r="L331" s="15"/>
      <c r="M331" s="15"/>
      <c r="N331" s="15"/>
      <c r="O331" s="15"/>
      <c r="P331" s="15"/>
      <c r="Q331" s="11"/>
      <c r="R331" s="11"/>
      <c r="S331" s="11"/>
      <c r="T331" s="11"/>
      <c r="U331" s="15"/>
      <c r="V331" s="11"/>
      <c r="W331" s="11"/>
      <c r="X331" s="11"/>
      <c r="Y331" s="11"/>
      <c r="Z331" s="11"/>
    </row>
    <row r="332">
      <c r="A332" s="18"/>
      <c r="B332" s="11"/>
      <c r="C332" s="11"/>
      <c r="D332" s="11"/>
      <c r="E332" s="11"/>
      <c r="F332" s="11"/>
      <c r="G332" s="11"/>
      <c r="H332" s="11"/>
      <c r="I332" s="11"/>
      <c r="J332" s="11"/>
      <c r="K332" s="11"/>
      <c r="L332" s="15"/>
      <c r="M332" s="15"/>
      <c r="N332" s="15"/>
      <c r="O332" s="15"/>
      <c r="P332" s="15"/>
      <c r="Q332" s="11"/>
      <c r="R332" s="11"/>
      <c r="S332" s="11"/>
      <c r="T332" s="11"/>
      <c r="U332" s="15"/>
      <c r="V332" s="11"/>
      <c r="W332" s="11"/>
      <c r="X332" s="11"/>
      <c r="Y332" s="11"/>
      <c r="Z332" s="11"/>
    </row>
    <row r="333">
      <c r="A333" s="18"/>
      <c r="B333" s="11"/>
      <c r="C333" s="11"/>
      <c r="D333" s="11"/>
      <c r="E333" s="11"/>
      <c r="F333" s="11"/>
      <c r="G333" s="11"/>
      <c r="H333" s="11"/>
      <c r="I333" s="11"/>
      <c r="J333" s="11"/>
      <c r="K333" s="11"/>
      <c r="L333" s="15"/>
      <c r="M333" s="15"/>
      <c r="N333" s="15"/>
      <c r="O333" s="15"/>
      <c r="P333" s="15"/>
      <c r="Q333" s="11"/>
      <c r="R333" s="11"/>
      <c r="S333" s="11"/>
      <c r="T333" s="11"/>
      <c r="U333" s="15"/>
      <c r="V333" s="11"/>
      <c r="W333" s="11"/>
      <c r="X333" s="11"/>
      <c r="Y333" s="11"/>
      <c r="Z333" s="11"/>
    </row>
    <row r="334">
      <c r="A334" s="18"/>
      <c r="B334" s="11"/>
      <c r="C334" s="11"/>
      <c r="D334" s="11"/>
      <c r="E334" s="11"/>
      <c r="F334" s="11"/>
      <c r="G334" s="11"/>
      <c r="H334" s="11"/>
      <c r="I334" s="11"/>
      <c r="J334" s="11"/>
      <c r="K334" s="11"/>
      <c r="L334" s="15"/>
      <c r="M334" s="15"/>
      <c r="N334" s="15"/>
      <c r="O334" s="15"/>
      <c r="P334" s="15"/>
      <c r="Q334" s="11"/>
      <c r="R334" s="11"/>
      <c r="S334" s="11"/>
      <c r="T334" s="11"/>
      <c r="U334" s="15"/>
      <c r="V334" s="11"/>
      <c r="W334" s="11"/>
      <c r="X334" s="11"/>
      <c r="Y334" s="11"/>
      <c r="Z334" s="11"/>
    </row>
    <row r="335">
      <c r="A335" s="18"/>
      <c r="B335" s="11"/>
      <c r="C335" s="11"/>
      <c r="D335" s="11"/>
      <c r="E335" s="11"/>
      <c r="F335" s="11"/>
      <c r="G335" s="11"/>
      <c r="H335" s="11"/>
      <c r="I335" s="11"/>
      <c r="J335" s="11"/>
      <c r="K335" s="11"/>
      <c r="L335" s="15"/>
      <c r="M335" s="15"/>
      <c r="N335" s="15"/>
      <c r="O335" s="15"/>
      <c r="P335" s="15"/>
      <c r="Q335" s="11"/>
      <c r="R335" s="11"/>
      <c r="S335" s="11"/>
      <c r="T335" s="11"/>
      <c r="U335" s="15"/>
      <c r="V335" s="11"/>
      <c r="W335" s="11"/>
      <c r="X335" s="11"/>
      <c r="Y335" s="11"/>
      <c r="Z335" s="11"/>
    </row>
    <row r="336">
      <c r="A336" s="18"/>
      <c r="B336" s="11"/>
      <c r="C336" s="11"/>
      <c r="D336" s="11"/>
      <c r="E336" s="11"/>
      <c r="F336" s="11"/>
      <c r="G336" s="11"/>
      <c r="H336" s="11"/>
      <c r="I336" s="11"/>
      <c r="J336" s="11"/>
      <c r="K336" s="11"/>
      <c r="L336" s="15"/>
      <c r="M336" s="15"/>
      <c r="N336" s="15"/>
      <c r="O336" s="15"/>
      <c r="P336" s="15"/>
      <c r="Q336" s="11"/>
      <c r="R336" s="11"/>
      <c r="S336" s="11"/>
      <c r="T336" s="11"/>
      <c r="U336" s="15"/>
      <c r="V336" s="11"/>
      <c r="W336" s="11"/>
      <c r="X336" s="11"/>
      <c r="Y336" s="11"/>
      <c r="Z336" s="11"/>
    </row>
    <row r="337">
      <c r="A337" s="18"/>
      <c r="B337" s="11"/>
      <c r="C337" s="11"/>
      <c r="D337" s="11"/>
      <c r="E337" s="11"/>
      <c r="F337" s="11"/>
      <c r="G337" s="11"/>
      <c r="H337" s="11"/>
      <c r="I337" s="11"/>
      <c r="J337" s="11"/>
      <c r="K337" s="11"/>
      <c r="L337" s="15"/>
      <c r="M337" s="15"/>
      <c r="N337" s="15"/>
      <c r="O337" s="15"/>
      <c r="P337" s="15"/>
      <c r="Q337" s="11"/>
      <c r="R337" s="11"/>
      <c r="S337" s="11"/>
      <c r="T337" s="11"/>
      <c r="U337" s="15"/>
      <c r="V337" s="11"/>
      <c r="W337" s="11"/>
      <c r="X337" s="11"/>
      <c r="Y337" s="11"/>
      <c r="Z337" s="11"/>
    </row>
    <row r="338">
      <c r="A338" s="18"/>
      <c r="B338" s="11"/>
      <c r="C338" s="11"/>
      <c r="D338" s="11"/>
      <c r="E338" s="11"/>
      <c r="F338" s="11"/>
      <c r="G338" s="11"/>
      <c r="H338" s="11"/>
      <c r="I338" s="11"/>
      <c r="J338" s="11"/>
      <c r="K338" s="11"/>
      <c r="L338" s="15"/>
      <c r="M338" s="15"/>
      <c r="N338" s="15"/>
      <c r="O338" s="15"/>
      <c r="P338" s="15"/>
      <c r="Q338" s="11"/>
      <c r="R338" s="11"/>
      <c r="S338" s="11"/>
      <c r="T338" s="11"/>
      <c r="U338" s="15"/>
      <c r="V338" s="11"/>
      <c r="W338" s="11"/>
      <c r="X338" s="11"/>
      <c r="Y338" s="11"/>
      <c r="Z338" s="11"/>
    </row>
    <row r="339">
      <c r="A339" s="18"/>
      <c r="B339" s="11"/>
      <c r="C339" s="11"/>
      <c r="D339" s="11"/>
      <c r="E339" s="11"/>
      <c r="F339" s="11"/>
      <c r="G339" s="11"/>
      <c r="H339" s="11"/>
      <c r="I339" s="11"/>
      <c r="J339" s="11"/>
      <c r="K339" s="11"/>
      <c r="L339" s="15"/>
      <c r="M339" s="15"/>
      <c r="N339" s="15"/>
      <c r="O339" s="15"/>
      <c r="P339" s="15"/>
      <c r="Q339" s="11"/>
      <c r="R339" s="11"/>
      <c r="S339" s="11"/>
      <c r="T339" s="11"/>
      <c r="U339" s="15"/>
      <c r="V339" s="11"/>
      <c r="W339" s="11"/>
      <c r="X339" s="11"/>
      <c r="Y339" s="11"/>
      <c r="Z339" s="11"/>
    </row>
    <row r="340">
      <c r="A340" s="18"/>
      <c r="B340" s="11"/>
      <c r="C340" s="11"/>
      <c r="D340" s="11"/>
      <c r="E340" s="11"/>
      <c r="F340" s="11"/>
      <c r="G340" s="11"/>
      <c r="H340" s="11"/>
      <c r="I340" s="11"/>
      <c r="J340" s="11"/>
      <c r="K340" s="11"/>
      <c r="L340" s="15"/>
      <c r="M340" s="15"/>
      <c r="N340" s="15"/>
      <c r="O340" s="15"/>
      <c r="P340" s="15"/>
      <c r="Q340" s="11"/>
      <c r="R340" s="11"/>
      <c r="S340" s="11"/>
      <c r="T340" s="11"/>
      <c r="U340" s="15"/>
      <c r="V340" s="11"/>
      <c r="W340" s="11"/>
      <c r="X340" s="11"/>
      <c r="Y340" s="11"/>
      <c r="Z340" s="11"/>
    </row>
    <row r="341">
      <c r="A341" s="18"/>
      <c r="B341" s="11"/>
      <c r="C341" s="11"/>
      <c r="D341" s="11"/>
      <c r="E341" s="11"/>
      <c r="F341" s="11"/>
      <c r="G341" s="11"/>
      <c r="H341" s="11"/>
      <c r="I341" s="11"/>
      <c r="J341" s="11"/>
      <c r="K341" s="11"/>
      <c r="L341" s="15"/>
      <c r="M341" s="15"/>
      <c r="N341" s="15"/>
      <c r="O341" s="15"/>
      <c r="P341" s="15"/>
      <c r="Q341" s="11"/>
      <c r="R341" s="11"/>
      <c r="S341" s="11"/>
      <c r="T341" s="11"/>
      <c r="U341" s="15"/>
      <c r="V341" s="11"/>
      <c r="W341" s="11"/>
      <c r="X341" s="11"/>
      <c r="Y341" s="11"/>
      <c r="Z341" s="11"/>
    </row>
    <row r="342">
      <c r="A342" s="18"/>
      <c r="B342" s="11"/>
      <c r="C342" s="11"/>
      <c r="D342" s="11"/>
      <c r="E342" s="11"/>
      <c r="F342" s="11"/>
      <c r="G342" s="11"/>
      <c r="H342" s="11"/>
      <c r="I342" s="11"/>
      <c r="J342" s="11"/>
      <c r="K342" s="11"/>
      <c r="L342" s="15"/>
      <c r="M342" s="15"/>
      <c r="N342" s="15"/>
      <c r="O342" s="15"/>
      <c r="P342" s="15"/>
      <c r="Q342" s="11"/>
      <c r="R342" s="11"/>
      <c r="S342" s="11"/>
      <c r="T342" s="11"/>
      <c r="U342" s="15"/>
      <c r="V342" s="11"/>
      <c r="W342" s="11"/>
      <c r="X342" s="11"/>
      <c r="Y342" s="11"/>
      <c r="Z342" s="11"/>
    </row>
    <row r="343">
      <c r="A343" s="18"/>
      <c r="B343" s="11"/>
      <c r="C343" s="11"/>
      <c r="D343" s="11"/>
      <c r="E343" s="11"/>
      <c r="F343" s="11"/>
      <c r="G343" s="11"/>
      <c r="H343" s="11"/>
      <c r="I343" s="11"/>
      <c r="J343" s="11"/>
      <c r="K343" s="11"/>
      <c r="L343" s="15"/>
      <c r="M343" s="15"/>
      <c r="N343" s="15"/>
      <c r="O343" s="15"/>
      <c r="P343" s="15"/>
      <c r="Q343" s="11"/>
      <c r="R343" s="11"/>
      <c r="S343" s="11"/>
      <c r="T343" s="11"/>
      <c r="U343" s="15"/>
      <c r="V343" s="11"/>
      <c r="W343" s="11"/>
      <c r="X343" s="11"/>
      <c r="Y343" s="11"/>
      <c r="Z343" s="11"/>
    </row>
    <row r="344">
      <c r="A344" s="18"/>
      <c r="B344" s="11"/>
      <c r="C344" s="11"/>
      <c r="D344" s="11"/>
      <c r="E344" s="11"/>
      <c r="F344" s="11"/>
      <c r="G344" s="11"/>
      <c r="H344" s="11"/>
      <c r="I344" s="11"/>
      <c r="J344" s="11"/>
      <c r="K344" s="11"/>
      <c r="L344" s="15"/>
      <c r="M344" s="15"/>
      <c r="N344" s="15"/>
      <c r="O344" s="15"/>
      <c r="P344" s="15"/>
      <c r="Q344" s="11"/>
      <c r="R344" s="11"/>
      <c r="S344" s="11"/>
      <c r="T344" s="11"/>
      <c r="U344" s="15"/>
      <c r="V344" s="11"/>
      <c r="W344" s="11"/>
      <c r="X344" s="11"/>
      <c r="Y344" s="11"/>
      <c r="Z344" s="11"/>
    </row>
    <row r="345">
      <c r="A345" s="18"/>
      <c r="B345" s="11"/>
      <c r="C345" s="11"/>
      <c r="D345" s="11"/>
      <c r="E345" s="11"/>
      <c r="F345" s="11"/>
      <c r="G345" s="11"/>
      <c r="H345" s="11"/>
      <c r="I345" s="11"/>
      <c r="J345" s="11"/>
      <c r="K345" s="11"/>
      <c r="L345" s="15"/>
      <c r="M345" s="15"/>
      <c r="N345" s="15"/>
      <c r="O345" s="15"/>
      <c r="P345" s="15"/>
      <c r="Q345" s="11"/>
      <c r="R345" s="11"/>
      <c r="S345" s="11"/>
      <c r="T345" s="11"/>
      <c r="U345" s="15"/>
      <c r="V345" s="11"/>
      <c r="W345" s="11"/>
      <c r="X345" s="11"/>
      <c r="Y345" s="11"/>
      <c r="Z345" s="11"/>
    </row>
    <row r="346">
      <c r="A346" s="18"/>
      <c r="B346" s="11"/>
      <c r="C346" s="11"/>
      <c r="D346" s="11"/>
      <c r="E346" s="11"/>
      <c r="F346" s="11"/>
      <c r="G346" s="11"/>
      <c r="H346" s="11"/>
      <c r="I346" s="11"/>
      <c r="J346" s="11"/>
      <c r="K346" s="11"/>
      <c r="L346" s="15"/>
      <c r="M346" s="15"/>
      <c r="N346" s="15"/>
      <c r="O346" s="15"/>
      <c r="P346" s="15"/>
      <c r="Q346" s="11"/>
      <c r="R346" s="11"/>
      <c r="S346" s="11"/>
      <c r="T346" s="11"/>
      <c r="U346" s="15"/>
      <c r="V346" s="11"/>
      <c r="W346" s="11"/>
      <c r="X346" s="11"/>
      <c r="Y346" s="11"/>
      <c r="Z346" s="11"/>
    </row>
    <row r="347">
      <c r="A347" s="18"/>
      <c r="B347" s="11"/>
      <c r="C347" s="11"/>
      <c r="D347" s="11"/>
      <c r="E347" s="11"/>
      <c r="F347" s="11"/>
      <c r="G347" s="11"/>
      <c r="H347" s="11"/>
      <c r="I347" s="11"/>
      <c r="J347" s="11"/>
      <c r="K347" s="11"/>
      <c r="L347" s="15"/>
      <c r="M347" s="15"/>
      <c r="N347" s="15"/>
      <c r="O347" s="15"/>
      <c r="P347" s="15"/>
      <c r="Q347" s="11"/>
      <c r="R347" s="11"/>
      <c r="S347" s="11"/>
      <c r="T347" s="11"/>
      <c r="U347" s="15"/>
      <c r="V347" s="11"/>
      <c r="W347" s="11"/>
      <c r="X347" s="11"/>
      <c r="Y347" s="11"/>
      <c r="Z347" s="11"/>
    </row>
    <row r="348">
      <c r="A348" s="18"/>
      <c r="B348" s="11"/>
      <c r="C348" s="11"/>
      <c r="D348" s="11"/>
      <c r="E348" s="11"/>
      <c r="F348" s="11"/>
      <c r="G348" s="11"/>
      <c r="H348" s="11"/>
      <c r="I348" s="11"/>
      <c r="J348" s="11"/>
      <c r="K348" s="11"/>
      <c r="L348" s="15"/>
      <c r="M348" s="15"/>
      <c r="N348" s="15"/>
      <c r="O348" s="15"/>
      <c r="P348" s="15"/>
      <c r="Q348" s="11"/>
      <c r="R348" s="11"/>
      <c r="S348" s="11"/>
      <c r="T348" s="11"/>
      <c r="U348" s="15"/>
      <c r="V348" s="11"/>
      <c r="W348" s="11"/>
      <c r="X348" s="11"/>
      <c r="Y348" s="11"/>
      <c r="Z348" s="11"/>
    </row>
    <row r="349">
      <c r="A349" s="18"/>
      <c r="B349" s="11"/>
      <c r="C349" s="11"/>
      <c r="D349" s="11"/>
      <c r="E349" s="11"/>
      <c r="F349" s="11"/>
      <c r="G349" s="11"/>
      <c r="H349" s="11"/>
      <c r="I349" s="11"/>
      <c r="J349" s="11"/>
      <c r="K349" s="11"/>
      <c r="L349" s="15"/>
      <c r="M349" s="15"/>
      <c r="N349" s="15"/>
      <c r="O349" s="15"/>
      <c r="P349" s="15"/>
      <c r="Q349" s="11"/>
      <c r="R349" s="11"/>
      <c r="S349" s="11"/>
      <c r="T349" s="11"/>
      <c r="U349" s="15"/>
      <c r="V349" s="11"/>
      <c r="W349" s="11"/>
      <c r="X349" s="11"/>
      <c r="Y349" s="11"/>
      <c r="Z349" s="11"/>
    </row>
    <row r="350">
      <c r="A350" s="18"/>
      <c r="B350" s="11"/>
      <c r="C350" s="11"/>
      <c r="D350" s="11"/>
      <c r="E350" s="11"/>
      <c r="F350" s="11"/>
      <c r="G350" s="11"/>
      <c r="H350" s="11"/>
      <c r="I350" s="11"/>
      <c r="J350" s="11"/>
      <c r="K350" s="11"/>
      <c r="L350" s="15"/>
      <c r="M350" s="15"/>
      <c r="N350" s="15"/>
      <c r="O350" s="15"/>
      <c r="P350" s="15"/>
      <c r="Q350" s="11"/>
      <c r="R350" s="11"/>
      <c r="S350" s="11"/>
      <c r="T350" s="11"/>
      <c r="U350" s="15"/>
      <c r="V350" s="11"/>
      <c r="W350" s="11"/>
      <c r="X350" s="11"/>
      <c r="Y350" s="11"/>
      <c r="Z350" s="11"/>
    </row>
    <row r="351">
      <c r="A351" s="18"/>
      <c r="B351" s="11"/>
      <c r="C351" s="11"/>
      <c r="D351" s="11"/>
      <c r="E351" s="11"/>
      <c r="F351" s="11"/>
      <c r="G351" s="11"/>
      <c r="H351" s="11"/>
      <c r="I351" s="11"/>
      <c r="J351" s="11"/>
      <c r="K351" s="11"/>
      <c r="L351" s="15"/>
      <c r="M351" s="15"/>
      <c r="N351" s="15"/>
      <c r="O351" s="15"/>
      <c r="P351" s="15"/>
      <c r="Q351" s="11"/>
      <c r="R351" s="11"/>
      <c r="S351" s="11"/>
      <c r="T351" s="11"/>
      <c r="U351" s="15"/>
      <c r="V351" s="11"/>
      <c r="W351" s="11"/>
      <c r="X351" s="11"/>
      <c r="Y351" s="11"/>
      <c r="Z351" s="11"/>
    </row>
    <row r="352">
      <c r="A352" s="18"/>
      <c r="B352" s="11"/>
      <c r="C352" s="11"/>
      <c r="D352" s="11"/>
      <c r="E352" s="11"/>
      <c r="F352" s="11"/>
      <c r="G352" s="11"/>
      <c r="H352" s="11"/>
      <c r="I352" s="11"/>
      <c r="J352" s="11"/>
      <c r="K352" s="11"/>
      <c r="L352" s="15"/>
      <c r="M352" s="15"/>
      <c r="N352" s="15"/>
      <c r="O352" s="15"/>
      <c r="P352" s="15"/>
      <c r="Q352" s="11"/>
      <c r="R352" s="11"/>
      <c r="S352" s="11"/>
      <c r="T352" s="11"/>
      <c r="U352" s="15"/>
      <c r="V352" s="11"/>
      <c r="W352" s="11"/>
      <c r="X352" s="11"/>
      <c r="Y352" s="11"/>
      <c r="Z352" s="11"/>
    </row>
    <row r="353">
      <c r="A353" s="18"/>
      <c r="B353" s="11"/>
      <c r="C353" s="11"/>
      <c r="D353" s="11"/>
      <c r="E353" s="11"/>
      <c r="F353" s="11"/>
      <c r="G353" s="11"/>
      <c r="H353" s="11"/>
      <c r="I353" s="11"/>
      <c r="J353" s="11"/>
      <c r="K353" s="11"/>
      <c r="L353" s="15"/>
      <c r="M353" s="15"/>
      <c r="N353" s="15"/>
      <c r="O353" s="15"/>
      <c r="P353" s="15"/>
      <c r="Q353" s="11"/>
      <c r="R353" s="11"/>
      <c r="S353" s="11"/>
      <c r="T353" s="11"/>
      <c r="U353" s="15"/>
      <c r="V353" s="11"/>
      <c r="W353" s="11"/>
      <c r="X353" s="11"/>
      <c r="Y353" s="11"/>
      <c r="Z353" s="11"/>
    </row>
    <row r="354">
      <c r="A354" s="18"/>
      <c r="B354" s="11"/>
      <c r="C354" s="11"/>
      <c r="D354" s="11"/>
      <c r="E354" s="11"/>
      <c r="F354" s="11"/>
      <c r="G354" s="11"/>
      <c r="H354" s="11"/>
      <c r="I354" s="11"/>
      <c r="J354" s="11"/>
      <c r="K354" s="11"/>
      <c r="L354" s="15"/>
      <c r="M354" s="15"/>
      <c r="N354" s="15"/>
      <c r="O354" s="15"/>
      <c r="P354" s="15"/>
      <c r="Q354" s="11"/>
      <c r="R354" s="11"/>
      <c r="S354" s="11"/>
      <c r="T354" s="11"/>
      <c r="U354" s="15"/>
      <c r="V354" s="11"/>
      <c r="W354" s="11"/>
      <c r="X354" s="11"/>
      <c r="Y354" s="11"/>
      <c r="Z354" s="11"/>
    </row>
    <row r="355">
      <c r="A355" s="18"/>
      <c r="B355" s="11"/>
      <c r="C355" s="11"/>
      <c r="D355" s="11"/>
      <c r="E355" s="11"/>
      <c r="F355" s="11"/>
      <c r="G355" s="11"/>
      <c r="H355" s="11"/>
      <c r="I355" s="11"/>
      <c r="J355" s="11"/>
      <c r="K355" s="11"/>
      <c r="L355" s="15"/>
      <c r="M355" s="15"/>
      <c r="N355" s="15"/>
      <c r="O355" s="15"/>
      <c r="P355" s="15"/>
      <c r="Q355" s="11"/>
      <c r="R355" s="11"/>
      <c r="S355" s="11"/>
      <c r="T355" s="11"/>
      <c r="U355" s="15"/>
      <c r="V355" s="11"/>
      <c r="W355" s="11"/>
      <c r="X355" s="11"/>
      <c r="Y355" s="11"/>
      <c r="Z355" s="11"/>
    </row>
    <row r="356">
      <c r="A356" s="18"/>
      <c r="B356" s="11"/>
      <c r="C356" s="11"/>
      <c r="D356" s="11"/>
      <c r="E356" s="11"/>
      <c r="F356" s="11"/>
      <c r="G356" s="11"/>
      <c r="H356" s="11"/>
      <c r="I356" s="11"/>
      <c r="J356" s="11"/>
      <c r="K356" s="11"/>
      <c r="L356" s="15"/>
      <c r="M356" s="15"/>
      <c r="N356" s="15"/>
      <c r="O356" s="15"/>
      <c r="P356" s="15"/>
      <c r="Q356" s="11"/>
      <c r="R356" s="11"/>
      <c r="S356" s="11"/>
      <c r="T356" s="11"/>
      <c r="U356" s="15"/>
      <c r="V356" s="11"/>
      <c r="W356" s="11"/>
      <c r="X356" s="11"/>
      <c r="Y356" s="11"/>
      <c r="Z356" s="11"/>
    </row>
    <row r="357">
      <c r="A357" s="18"/>
      <c r="B357" s="11"/>
      <c r="C357" s="11"/>
      <c r="D357" s="11"/>
      <c r="E357" s="11"/>
      <c r="F357" s="11"/>
      <c r="G357" s="11"/>
      <c r="H357" s="11"/>
      <c r="I357" s="11"/>
      <c r="J357" s="11"/>
      <c r="K357" s="11"/>
      <c r="L357" s="15"/>
      <c r="M357" s="15"/>
      <c r="N357" s="15"/>
      <c r="O357" s="15"/>
      <c r="P357" s="15"/>
      <c r="Q357" s="11"/>
      <c r="R357" s="11"/>
      <c r="S357" s="11"/>
      <c r="T357" s="11"/>
      <c r="U357" s="15"/>
      <c r="V357" s="11"/>
      <c r="W357" s="11"/>
      <c r="X357" s="11"/>
      <c r="Y357" s="11"/>
      <c r="Z357" s="11"/>
    </row>
    <row r="358">
      <c r="A358" s="18"/>
      <c r="B358" s="11"/>
      <c r="C358" s="11"/>
      <c r="D358" s="11"/>
      <c r="E358" s="11"/>
      <c r="F358" s="11"/>
      <c r="G358" s="11"/>
      <c r="H358" s="11"/>
      <c r="I358" s="11"/>
      <c r="J358" s="11"/>
      <c r="K358" s="11"/>
      <c r="L358" s="15"/>
      <c r="M358" s="15"/>
      <c r="N358" s="15"/>
      <c r="O358" s="15"/>
      <c r="P358" s="15"/>
      <c r="Q358" s="11"/>
      <c r="R358" s="11"/>
      <c r="S358" s="11"/>
      <c r="T358" s="11"/>
      <c r="U358" s="15"/>
      <c r="V358" s="11"/>
      <c r="W358" s="11"/>
      <c r="X358" s="11"/>
      <c r="Y358" s="11"/>
      <c r="Z358" s="11"/>
    </row>
    <row r="359">
      <c r="A359" s="18"/>
      <c r="B359" s="11"/>
      <c r="C359" s="11"/>
      <c r="D359" s="11"/>
      <c r="E359" s="11"/>
      <c r="F359" s="11"/>
      <c r="G359" s="11"/>
      <c r="H359" s="11"/>
      <c r="I359" s="11"/>
      <c r="J359" s="11"/>
      <c r="K359" s="11"/>
      <c r="L359" s="15"/>
      <c r="M359" s="15"/>
      <c r="N359" s="15"/>
      <c r="O359" s="15"/>
      <c r="P359" s="15"/>
      <c r="Q359" s="11"/>
      <c r="R359" s="11"/>
      <c r="S359" s="11"/>
      <c r="T359" s="11"/>
      <c r="U359" s="15"/>
      <c r="V359" s="11"/>
      <c r="W359" s="11"/>
      <c r="X359" s="11"/>
      <c r="Y359" s="11"/>
      <c r="Z359" s="11"/>
    </row>
    <row r="360">
      <c r="A360" s="18"/>
      <c r="B360" s="11"/>
      <c r="C360" s="11"/>
      <c r="D360" s="11"/>
      <c r="E360" s="11"/>
      <c r="F360" s="11"/>
      <c r="G360" s="11"/>
      <c r="H360" s="11"/>
      <c r="I360" s="11"/>
      <c r="J360" s="11"/>
      <c r="K360" s="11"/>
      <c r="L360" s="15"/>
      <c r="M360" s="15"/>
      <c r="N360" s="15"/>
      <c r="O360" s="15"/>
      <c r="P360" s="15"/>
      <c r="Q360" s="11"/>
      <c r="R360" s="11"/>
      <c r="S360" s="11"/>
      <c r="T360" s="11"/>
      <c r="U360" s="15"/>
      <c r="V360" s="11"/>
      <c r="W360" s="11"/>
      <c r="X360" s="11"/>
      <c r="Y360" s="11"/>
      <c r="Z360" s="11"/>
    </row>
    <row r="361">
      <c r="A361" s="18"/>
      <c r="B361" s="11"/>
      <c r="C361" s="11"/>
      <c r="D361" s="11"/>
      <c r="E361" s="11"/>
      <c r="F361" s="11"/>
      <c r="G361" s="11"/>
      <c r="H361" s="11"/>
      <c r="I361" s="11"/>
      <c r="J361" s="11"/>
      <c r="K361" s="11"/>
      <c r="L361" s="15"/>
      <c r="M361" s="15"/>
      <c r="N361" s="15"/>
      <c r="O361" s="15"/>
      <c r="P361" s="15"/>
      <c r="Q361" s="11"/>
      <c r="R361" s="11"/>
      <c r="S361" s="11"/>
      <c r="T361" s="11"/>
      <c r="U361" s="15"/>
      <c r="V361" s="11"/>
      <c r="W361" s="11"/>
      <c r="X361" s="11"/>
      <c r="Y361" s="11"/>
      <c r="Z361" s="11"/>
    </row>
    <row r="362">
      <c r="A362" s="18"/>
      <c r="B362" s="11"/>
      <c r="C362" s="11"/>
      <c r="D362" s="11"/>
      <c r="E362" s="11"/>
      <c r="F362" s="11"/>
      <c r="G362" s="11"/>
      <c r="H362" s="11"/>
      <c r="I362" s="11"/>
      <c r="J362" s="11"/>
      <c r="K362" s="11"/>
      <c r="L362" s="15"/>
      <c r="M362" s="15"/>
      <c r="N362" s="15"/>
      <c r="O362" s="15"/>
      <c r="P362" s="15"/>
      <c r="Q362" s="11"/>
      <c r="R362" s="11"/>
      <c r="S362" s="11"/>
      <c r="T362" s="11"/>
      <c r="U362" s="15"/>
      <c r="V362" s="11"/>
      <c r="W362" s="11"/>
      <c r="X362" s="11"/>
      <c r="Y362" s="11"/>
      <c r="Z362" s="11"/>
    </row>
    <row r="363">
      <c r="A363" s="18"/>
      <c r="B363" s="11"/>
      <c r="C363" s="11"/>
      <c r="D363" s="11"/>
      <c r="E363" s="11"/>
      <c r="F363" s="11"/>
      <c r="G363" s="11"/>
      <c r="H363" s="11"/>
      <c r="I363" s="11"/>
      <c r="J363" s="11"/>
      <c r="K363" s="11"/>
      <c r="L363" s="15"/>
      <c r="M363" s="15"/>
      <c r="N363" s="15"/>
      <c r="O363" s="15"/>
      <c r="P363" s="15"/>
      <c r="Q363" s="11"/>
      <c r="R363" s="11"/>
      <c r="S363" s="11"/>
      <c r="T363" s="11"/>
      <c r="U363" s="15"/>
      <c r="V363" s="11"/>
      <c r="W363" s="11"/>
      <c r="X363" s="11"/>
      <c r="Y363" s="11"/>
      <c r="Z363" s="11"/>
    </row>
    <row r="364">
      <c r="A364" s="18"/>
      <c r="B364" s="11"/>
      <c r="C364" s="11"/>
      <c r="D364" s="11"/>
      <c r="E364" s="11"/>
      <c r="F364" s="11"/>
      <c r="G364" s="11"/>
      <c r="H364" s="11"/>
      <c r="I364" s="11"/>
      <c r="J364" s="11"/>
      <c r="K364" s="11"/>
      <c r="L364" s="15"/>
      <c r="M364" s="15"/>
      <c r="N364" s="15"/>
      <c r="O364" s="15"/>
      <c r="P364" s="15"/>
      <c r="Q364" s="11"/>
      <c r="R364" s="11"/>
      <c r="S364" s="11"/>
      <c r="T364" s="11"/>
      <c r="U364" s="15"/>
      <c r="V364" s="11"/>
      <c r="W364" s="11"/>
      <c r="X364" s="11"/>
      <c r="Y364" s="11"/>
      <c r="Z364" s="11"/>
    </row>
    <row r="365">
      <c r="A365" s="18"/>
      <c r="B365" s="11"/>
      <c r="C365" s="11"/>
      <c r="D365" s="11"/>
      <c r="E365" s="11"/>
      <c r="F365" s="11"/>
      <c r="G365" s="11"/>
      <c r="H365" s="11"/>
      <c r="I365" s="11"/>
      <c r="J365" s="11"/>
      <c r="K365" s="11"/>
      <c r="L365" s="15"/>
      <c r="M365" s="15"/>
      <c r="N365" s="15"/>
      <c r="O365" s="15"/>
      <c r="P365" s="15"/>
      <c r="Q365" s="11"/>
      <c r="R365" s="11"/>
      <c r="S365" s="11"/>
      <c r="T365" s="11"/>
      <c r="U365" s="15"/>
      <c r="V365" s="11"/>
      <c r="W365" s="11"/>
      <c r="X365" s="11"/>
      <c r="Y365" s="11"/>
      <c r="Z365" s="11"/>
    </row>
    <row r="366">
      <c r="A366" s="18"/>
      <c r="B366" s="11"/>
      <c r="C366" s="11"/>
      <c r="D366" s="11"/>
      <c r="E366" s="11"/>
      <c r="F366" s="11"/>
      <c r="G366" s="11"/>
      <c r="H366" s="11"/>
      <c r="I366" s="11"/>
      <c r="J366" s="11"/>
      <c r="K366" s="11"/>
      <c r="L366" s="15"/>
      <c r="M366" s="15"/>
      <c r="N366" s="15"/>
      <c r="O366" s="15"/>
      <c r="P366" s="15"/>
      <c r="Q366" s="11"/>
      <c r="R366" s="11"/>
      <c r="S366" s="11"/>
      <c r="T366" s="11"/>
      <c r="U366" s="15"/>
      <c r="V366" s="11"/>
      <c r="W366" s="11"/>
      <c r="X366" s="11"/>
      <c r="Y366" s="11"/>
      <c r="Z366" s="11"/>
    </row>
    <row r="367">
      <c r="A367" s="18"/>
      <c r="B367" s="11"/>
      <c r="C367" s="11"/>
      <c r="D367" s="11"/>
      <c r="E367" s="11"/>
      <c r="F367" s="11"/>
      <c r="G367" s="11"/>
      <c r="H367" s="11"/>
      <c r="I367" s="11"/>
      <c r="J367" s="11"/>
      <c r="K367" s="11"/>
      <c r="L367" s="15"/>
      <c r="M367" s="15"/>
      <c r="N367" s="15"/>
      <c r="O367" s="15"/>
      <c r="P367" s="15"/>
      <c r="Q367" s="11"/>
      <c r="R367" s="11"/>
      <c r="S367" s="11"/>
      <c r="T367" s="11"/>
      <c r="U367" s="15"/>
      <c r="V367" s="11"/>
      <c r="W367" s="11"/>
      <c r="X367" s="11"/>
      <c r="Y367" s="11"/>
      <c r="Z367" s="11"/>
    </row>
    <row r="368">
      <c r="A368" s="18"/>
      <c r="B368" s="11"/>
      <c r="C368" s="11"/>
      <c r="D368" s="11"/>
      <c r="E368" s="11"/>
      <c r="F368" s="11"/>
      <c r="G368" s="11"/>
      <c r="H368" s="11"/>
      <c r="I368" s="11"/>
      <c r="J368" s="11"/>
      <c r="K368" s="11"/>
      <c r="L368" s="15"/>
      <c r="M368" s="15"/>
      <c r="N368" s="15"/>
      <c r="O368" s="15"/>
      <c r="P368" s="15"/>
      <c r="Q368" s="11"/>
      <c r="R368" s="11"/>
      <c r="S368" s="11"/>
      <c r="T368" s="11"/>
      <c r="U368" s="15"/>
      <c r="V368" s="11"/>
      <c r="W368" s="11"/>
      <c r="X368" s="11"/>
      <c r="Y368" s="11"/>
      <c r="Z368" s="11"/>
    </row>
    <row r="369">
      <c r="A369" s="18"/>
      <c r="B369" s="11"/>
      <c r="C369" s="11"/>
      <c r="D369" s="11"/>
      <c r="E369" s="11"/>
      <c r="F369" s="11"/>
      <c r="G369" s="11"/>
      <c r="H369" s="11"/>
      <c r="I369" s="11"/>
      <c r="J369" s="11"/>
      <c r="K369" s="11"/>
      <c r="L369" s="15"/>
      <c r="M369" s="15"/>
      <c r="N369" s="15"/>
      <c r="O369" s="15"/>
      <c r="P369" s="15"/>
      <c r="Q369" s="11"/>
      <c r="R369" s="11"/>
      <c r="S369" s="11"/>
      <c r="T369" s="11"/>
      <c r="U369" s="15"/>
      <c r="V369" s="11"/>
      <c r="W369" s="11"/>
      <c r="X369" s="11"/>
      <c r="Y369" s="11"/>
      <c r="Z369" s="11"/>
    </row>
    <row r="370">
      <c r="A370" s="18"/>
      <c r="B370" s="11"/>
      <c r="C370" s="11"/>
      <c r="D370" s="11"/>
      <c r="E370" s="11"/>
      <c r="F370" s="11"/>
      <c r="G370" s="11"/>
      <c r="H370" s="11"/>
      <c r="I370" s="11"/>
      <c r="J370" s="11"/>
      <c r="K370" s="11"/>
      <c r="L370" s="15"/>
      <c r="M370" s="15"/>
      <c r="N370" s="15"/>
      <c r="O370" s="15"/>
      <c r="P370" s="15"/>
      <c r="Q370" s="11"/>
      <c r="R370" s="11"/>
      <c r="S370" s="11"/>
      <c r="T370" s="11"/>
      <c r="U370" s="15"/>
      <c r="V370" s="11"/>
      <c r="W370" s="11"/>
      <c r="X370" s="11"/>
      <c r="Y370" s="11"/>
      <c r="Z370" s="11"/>
    </row>
    <row r="371">
      <c r="A371" s="18"/>
      <c r="B371" s="11"/>
      <c r="C371" s="11"/>
      <c r="D371" s="11"/>
      <c r="E371" s="11"/>
      <c r="F371" s="11"/>
      <c r="G371" s="11"/>
      <c r="H371" s="11"/>
      <c r="I371" s="11"/>
      <c r="J371" s="11"/>
      <c r="K371" s="11"/>
      <c r="L371" s="15"/>
      <c r="M371" s="15"/>
      <c r="N371" s="15"/>
      <c r="O371" s="15"/>
      <c r="P371" s="15"/>
      <c r="Q371" s="11"/>
      <c r="R371" s="11"/>
      <c r="S371" s="11"/>
      <c r="T371" s="11"/>
      <c r="U371" s="15"/>
      <c r="V371" s="11"/>
      <c r="W371" s="11"/>
      <c r="X371" s="11"/>
      <c r="Y371" s="11"/>
      <c r="Z371" s="11"/>
    </row>
    <row r="372">
      <c r="A372" s="18"/>
      <c r="B372" s="11"/>
      <c r="C372" s="11"/>
      <c r="D372" s="11"/>
      <c r="E372" s="11"/>
      <c r="F372" s="11"/>
      <c r="G372" s="11"/>
      <c r="H372" s="11"/>
      <c r="I372" s="11"/>
      <c r="J372" s="11"/>
      <c r="K372" s="11"/>
      <c r="L372" s="15"/>
      <c r="M372" s="15"/>
      <c r="N372" s="15"/>
      <c r="O372" s="15"/>
      <c r="P372" s="15"/>
      <c r="Q372" s="11"/>
      <c r="R372" s="11"/>
      <c r="S372" s="11"/>
      <c r="T372" s="11"/>
      <c r="U372" s="15"/>
      <c r="V372" s="11"/>
      <c r="W372" s="11"/>
      <c r="X372" s="11"/>
      <c r="Y372" s="11"/>
      <c r="Z372" s="11"/>
    </row>
    <row r="373">
      <c r="A373" s="18"/>
      <c r="B373" s="11"/>
      <c r="C373" s="11"/>
      <c r="D373" s="11"/>
      <c r="E373" s="11"/>
      <c r="F373" s="11"/>
      <c r="G373" s="11"/>
      <c r="H373" s="11"/>
      <c r="I373" s="11"/>
      <c r="J373" s="11"/>
      <c r="K373" s="11"/>
      <c r="L373" s="15"/>
      <c r="M373" s="15"/>
      <c r="N373" s="15"/>
      <c r="O373" s="15"/>
      <c r="P373" s="15"/>
      <c r="Q373" s="11"/>
      <c r="R373" s="11"/>
      <c r="S373" s="11"/>
      <c r="T373" s="11"/>
      <c r="U373" s="15"/>
      <c r="V373" s="11"/>
      <c r="W373" s="11"/>
      <c r="X373" s="11"/>
      <c r="Y373" s="11"/>
      <c r="Z373" s="11"/>
    </row>
    <row r="374">
      <c r="A374" s="18"/>
      <c r="B374" s="11"/>
      <c r="C374" s="11"/>
      <c r="D374" s="11"/>
      <c r="E374" s="11"/>
      <c r="F374" s="11"/>
      <c r="G374" s="11"/>
      <c r="H374" s="11"/>
      <c r="I374" s="11"/>
      <c r="J374" s="11"/>
      <c r="K374" s="11"/>
      <c r="L374" s="15"/>
      <c r="M374" s="15"/>
      <c r="N374" s="15"/>
      <c r="O374" s="15"/>
      <c r="P374" s="15"/>
      <c r="Q374" s="11"/>
      <c r="R374" s="11"/>
      <c r="S374" s="11"/>
      <c r="T374" s="11"/>
      <c r="U374" s="15"/>
      <c r="V374" s="11"/>
      <c r="W374" s="11"/>
      <c r="X374" s="11"/>
      <c r="Y374" s="11"/>
      <c r="Z374" s="11"/>
    </row>
    <row r="375">
      <c r="A375" s="18"/>
      <c r="B375" s="11"/>
      <c r="C375" s="11"/>
      <c r="D375" s="11"/>
      <c r="E375" s="11"/>
      <c r="F375" s="11"/>
      <c r="G375" s="11"/>
      <c r="H375" s="11"/>
      <c r="I375" s="11"/>
      <c r="J375" s="11"/>
      <c r="K375" s="11"/>
      <c r="L375" s="15"/>
      <c r="M375" s="15"/>
      <c r="N375" s="15"/>
      <c r="O375" s="15"/>
      <c r="P375" s="15"/>
      <c r="Q375" s="11"/>
      <c r="R375" s="11"/>
      <c r="S375" s="11"/>
      <c r="T375" s="11"/>
      <c r="U375" s="15"/>
      <c r="V375" s="11"/>
      <c r="W375" s="11"/>
      <c r="X375" s="11"/>
      <c r="Y375" s="11"/>
      <c r="Z375" s="11"/>
    </row>
    <row r="376">
      <c r="A376" s="18"/>
      <c r="B376" s="11"/>
      <c r="C376" s="11"/>
      <c r="D376" s="11"/>
      <c r="E376" s="11"/>
      <c r="F376" s="11"/>
      <c r="G376" s="11"/>
      <c r="H376" s="11"/>
      <c r="I376" s="11"/>
      <c r="J376" s="11"/>
      <c r="K376" s="11"/>
      <c r="L376" s="15"/>
      <c r="M376" s="15"/>
      <c r="N376" s="15"/>
      <c r="O376" s="15"/>
      <c r="P376" s="15"/>
      <c r="Q376" s="11"/>
      <c r="R376" s="11"/>
      <c r="S376" s="11"/>
      <c r="T376" s="11"/>
      <c r="U376" s="15"/>
      <c r="V376" s="11"/>
      <c r="W376" s="11"/>
      <c r="X376" s="11"/>
      <c r="Y376" s="11"/>
      <c r="Z376" s="11"/>
    </row>
    <row r="377">
      <c r="A377" s="18"/>
      <c r="B377" s="11"/>
      <c r="C377" s="11"/>
      <c r="D377" s="11"/>
      <c r="E377" s="11"/>
      <c r="F377" s="11"/>
      <c r="G377" s="11"/>
      <c r="H377" s="11"/>
      <c r="I377" s="11"/>
      <c r="J377" s="11"/>
      <c r="K377" s="11"/>
      <c r="L377" s="15"/>
      <c r="M377" s="15"/>
      <c r="N377" s="15"/>
      <c r="O377" s="15"/>
      <c r="P377" s="15"/>
      <c r="Q377" s="11"/>
      <c r="R377" s="11"/>
      <c r="S377" s="11"/>
      <c r="T377" s="11"/>
      <c r="U377" s="15"/>
      <c r="V377" s="11"/>
      <c r="W377" s="11"/>
      <c r="X377" s="11"/>
      <c r="Y377" s="11"/>
      <c r="Z377" s="11"/>
    </row>
    <row r="378">
      <c r="A378" s="18"/>
      <c r="B378" s="11"/>
      <c r="C378" s="11"/>
      <c r="D378" s="11"/>
      <c r="E378" s="11"/>
      <c r="F378" s="11"/>
      <c r="G378" s="11"/>
      <c r="H378" s="11"/>
      <c r="I378" s="11"/>
      <c r="J378" s="11"/>
      <c r="K378" s="11"/>
      <c r="L378" s="15"/>
      <c r="M378" s="15"/>
      <c r="N378" s="15"/>
      <c r="O378" s="15"/>
      <c r="P378" s="15"/>
      <c r="Q378" s="11"/>
      <c r="R378" s="11"/>
      <c r="S378" s="11"/>
      <c r="T378" s="11"/>
      <c r="U378" s="15"/>
      <c r="V378" s="11"/>
      <c r="W378" s="11"/>
      <c r="X378" s="11"/>
      <c r="Y378" s="11"/>
      <c r="Z378" s="11"/>
    </row>
    <row r="379">
      <c r="A379" s="18"/>
      <c r="B379" s="11"/>
      <c r="C379" s="11"/>
      <c r="D379" s="11"/>
      <c r="E379" s="11"/>
      <c r="F379" s="11"/>
      <c r="G379" s="11"/>
      <c r="H379" s="11"/>
      <c r="I379" s="11"/>
      <c r="J379" s="11"/>
      <c r="K379" s="11"/>
      <c r="L379" s="15"/>
      <c r="M379" s="15"/>
      <c r="N379" s="15"/>
      <c r="O379" s="15"/>
      <c r="P379" s="15"/>
      <c r="Q379" s="11"/>
      <c r="R379" s="11"/>
      <c r="S379" s="11"/>
      <c r="T379" s="11"/>
      <c r="U379" s="15"/>
      <c r="V379" s="11"/>
      <c r="W379" s="11"/>
      <c r="X379" s="11"/>
      <c r="Y379" s="11"/>
      <c r="Z379" s="11"/>
    </row>
    <row r="380">
      <c r="A380" s="18"/>
      <c r="B380" s="11"/>
      <c r="C380" s="11"/>
      <c r="D380" s="11"/>
      <c r="E380" s="11"/>
      <c r="F380" s="11"/>
      <c r="G380" s="11"/>
      <c r="H380" s="11"/>
      <c r="I380" s="11"/>
      <c r="J380" s="11"/>
      <c r="K380" s="11"/>
      <c r="L380" s="15"/>
      <c r="M380" s="15"/>
      <c r="N380" s="15"/>
      <c r="O380" s="15"/>
      <c r="P380" s="15"/>
      <c r="Q380" s="11"/>
      <c r="R380" s="11"/>
      <c r="S380" s="11"/>
      <c r="T380" s="11"/>
      <c r="U380" s="15"/>
      <c r="V380" s="11"/>
      <c r="W380" s="11"/>
      <c r="X380" s="11"/>
      <c r="Y380" s="11"/>
      <c r="Z380" s="11"/>
    </row>
    <row r="381">
      <c r="A381" s="18"/>
      <c r="B381" s="11"/>
      <c r="C381" s="11"/>
      <c r="D381" s="11"/>
      <c r="E381" s="11"/>
      <c r="F381" s="11"/>
      <c r="G381" s="11"/>
      <c r="H381" s="11"/>
      <c r="I381" s="11"/>
      <c r="J381" s="11"/>
      <c r="K381" s="11"/>
      <c r="L381" s="15"/>
      <c r="M381" s="15"/>
      <c r="N381" s="15"/>
      <c r="O381" s="15"/>
      <c r="P381" s="15"/>
      <c r="Q381" s="11"/>
      <c r="R381" s="11"/>
      <c r="S381" s="11"/>
      <c r="T381" s="11"/>
      <c r="U381" s="15"/>
      <c r="V381" s="11"/>
      <c r="W381" s="11"/>
      <c r="X381" s="11"/>
      <c r="Y381" s="11"/>
      <c r="Z381" s="11"/>
    </row>
    <row r="382">
      <c r="A382" s="18"/>
      <c r="B382" s="11"/>
      <c r="C382" s="11"/>
      <c r="D382" s="11"/>
      <c r="E382" s="11"/>
      <c r="F382" s="11"/>
      <c r="G382" s="11"/>
      <c r="H382" s="11"/>
      <c r="I382" s="11"/>
      <c r="J382" s="11"/>
      <c r="K382" s="11"/>
      <c r="L382" s="15"/>
      <c r="M382" s="15"/>
      <c r="N382" s="15"/>
      <c r="O382" s="15"/>
      <c r="P382" s="15"/>
      <c r="Q382" s="11"/>
      <c r="R382" s="11"/>
      <c r="S382" s="11"/>
      <c r="T382" s="11"/>
      <c r="U382" s="15"/>
      <c r="V382" s="11"/>
      <c r="W382" s="11"/>
      <c r="X382" s="11"/>
      <c r="Y382" s="11"/>
      <c r="Z382" s="11"/>
    </row>
    <row r="383">
      <c r="A383" s="18"/>
      <c r="B383" s="11"/>
      <c r="C383" s="11"/>
      <c r="D383" s="11"/>
      <c r="E383" s="11"/>
      <c r="F383" s="11"/>
      <c r="G383" s="11"/>
      <c r="H383" s="11"/>
      <c r="I383" s="11"/>
      <c r="J383" s="11"/>
      <c r="K383" s="11"/>
      <c r="L383" s="15"/>
      <c r="M383" s="15"/>
      <c r="N383" s="15"/>
      <c r="O383" s="15"/>
      <c r="P383" s="15"/>
      <c r="Q383" s="11"/>
      <c r="R383" s="11"/>
      <c r="S383" s="11"/>
      <c r="T383" s="11"/>
      <c r="U383" s="15"/>
      <c r="V383" s="11"/>
      <c r="W383" s="11"/>
      <c r="X383" s="11"/>
      <c r="Y383" s="11"/>
      <c r="Z383" s="11"/>
    </row>
    <row r="384">
      <c r="A384" s="18"/>
      <c r="B384" s="11"/>
      <c r="C384" s="11"/>
      <c r="D384" s="11"/>
      <c r="E384" s="11"/>
      <c r="F384" s="11"/>
      <c r="G384" s="11"/>
      <c r="H384" s="11"/>
      <c r="I384" s="11"/>
      <c r="J384" s="11"/>
      <c r="K384" s="11"/>
      <c r="L384" s="15"/>
      <c r="M384" s="15"/>
      <c r="N384" s="15"/>
      <c r="O384" s="15"/>
      <c r="P384" s="15"/>
      <c r="Q384" s="11"/>
      <c r="R384" s="11"/>
      <c r="S384" s="11"/>
      <c r="T384" s="11"/>
      <c r="U384" s="15"/>
      <c r="V384" s="11"/>
      <c r="W384" s="11"/>
      <c r="X384" s="11"/>
      <c r="Y384" s="11"/>
      <c r="Z384" s="11"/>
    </row>
    <row r="385">
      <c r="A385" s="18"/>
      <c r="B385" s="11"/>
      <c r="C385" s="11"/>
      <c r="D385" s="11"/>
      <c r="E385" s="11"/>
      <c r="F385" s="11"/>
      <c r="G385" s="11"/>
      <c r="H385" s="11"/>
      <c r="I385" s="11"/>
      <c r="J385" s="11"/>
      <c r="K385" s="11"/>
      <c r="L385" s="15"/>
      <c r="M385" s="15"/>
      <c r="N385" s="15"/>
      <c r="O385" s="15"/>
      <c r="P385" s="15"/>
      <c r="Q385" s="11"/>
      <c r="R385" s="11"/>
      <c r="S385" s="11"/>
      <c r="T385" s="11"/>
      <c r="U385" s="15"/>
      <c r="V385" s="11"/>
      <c r="W385" s="11"/>
      <c r="X385" s="11"/>
      <c r="Y385" s="11"/>
      <c r="Z385" s="11"/>
    </row>
    <row r="386">
      <c r="A386" s="18"/>
      <c r="B386" s="11"/>
      <c r="C386" s="11"/>
      <c r="D386" s="11"/>
      <c r="E386" s="11"/>
      <c r="F386" s="11"/>
      <c r="G386" s="11"/>
      <c r="H386" s="11"/>
      <c r="I386" s="11"/>
      <c r="J386" s="11"/>
      <c r="K386" s="11"/>
      <c r="L386" s="15"/>
      <c r="M386" s="15"/>
      <c r="N386" s="15"/>
      <c r="O386" s="15"/>
      <c r="P386" s="15"/>
      <c r="Q386" s="11"/>
      <c r="R386" s="11"/>
      <c r="S386" s="11"/>
      <c r="T386" s="11"/>
      <c r="U386" s="15"/>
      <c r="V386" s="11"/>
      <c r="W386" s="11"/>
      <c r="X386" s="11"/>
      <c r="Y386" s="11"/>
      <c r="Z386" s="11"/>
    </row>
    <row r="387">
      <c r="A387" s="18"/>
      <c r="B387" s="11"/>
      <c r="C387" s="11"/>
      <c r="D387" s="11"/>
      <c r="E387" s="11"/>
      <c r="F387" s="11"/>
      <c r="G387" s="11"/>
      <c r="H387" s="11"/>
      <c r="I387" s="11"/>
      <c r="J387" s="11"/>
      <c r="K387" s="11"/>
      <c r="L387" s="15"/>
      <c r="M387" s="15"/>
      <c r="N387" s="15"/>
      <c r="O387" s="15"/>
      <c r="P387" s="15"/>
      <c r="Q387" s="11"/>
      <c r="R387" s="11"/>
      <c r="S387" s="11"/>
      <c r="T387" s="11"/>
      <c r="U387" s="15"/>
      <c r="V387" s="11"/>
      <c r="W387" s="11"/>
      <c r="X387" s="11"/>
      <c r="Y387" s="11"/>
      <c r="Z387" s="11"/>
    </row>
    <row r="388">
      <c r="A388" s="18"/>
      <c r="B388" s="11"/>
      <c r="C388" s="11"/>
      <c r="D388" s="11"/>
      <c r="E388" s="11"/>
      <c r="F388" s="11"/>
      <c r="G388" s="11"/>
      <c r="H388" s="11"/>
      <c r="I388" s="11"/>
      <c r="J388" s="11"/>
      <c r="K388" s="11"/>
      <c r="L388" s="15"/>
      <c r="M388" s="15"/>
      <c r="N388" s="15"/>
      <c r="O388" s="15"/>
      <c r="P388" s="15"/>
      <c r="Q388" s="11"/>
      <c r="R388" s="11"/>
      <c r="S388" s="11"/>
      <c r="T388" s="11"/>
      <c r="U388" s="15"/>
      <c r="V388" s="11"/>
      <c r="W388" s="11"/>
      <c r="X388" s="11"/>
      <c r="Y388" s="11"/>
      <c r="Z388" s="11"/>
    </row>
    <row r="389">
      <c r="A389" s="18"/>
      <c r="B389" s="11"/>
      <c r="C389" s="11"/>
      <c r="D389" s="11"/>
      <c r="E389" s="11"/>
      <c r="F389" s="11"/>
      <c r="G389" s="11"/>
      <c r="H389" s="11"/>
      <c r="I389" s="11"/>
      <c r="J389" s="11"/>
      <c r="K389" s="11"/>
      <c r="L389" s="15"/>
      <c r="M389" s="15"/>
      <c r="N389" s="15"/>
      <c r="O389" s="15"/>
      <c r="P389" s="15"/>
      <c r="Q389" s="11"/>
      <c r="R389" s="11"/>
      <c r="S389" s="11"/>
      <c r="T389" s="11"/>
      <c r="U389" s="15"/>
      <c r="V389" s="11"/>
      <c r="W389" s="11"/>
      <c r="X389" s="11"/>
      <c r="Y389" s="11"/>
      <c r="Z389" s="11"/>
    </row>
    <row r="390">
      <c r="A390" s="18"/>
      <c r="B390" s="11"/>
      <c r="C390" s="11"/>
      <c r="D390" s="11"/>
      <c r="E390" s="11"/>
      <c r="F390" s="11"/>
      <c r="G390" s="11"/>
      <c r="H390" s="11"/>
      <c r="I390" s="11"/>
      <c r="J390" s="11"/>
      <c r="K390" s="11"/>
      <c r="L390" s="15"/>
      <c r="M390" s="15"/>
      <c r="N390" s="15"/>
      <c r="O390" s="15"/>
      <c r="P390" s="15"/>
      <c r="Q390" s="11"/>
      <c r="R390" s="11"/>
      <c r="S390" s="11"/>
      <c r="T390" s="11"/>
      <c r="U390" s="15"/>
      <c r="V390" s="11"/>
      <c r="W390" s="11"/>
      <c r="X390" s="11"/>
      <c r="Y390" s="11"/>
      <c r="Z390" s="11"/>
    </row>
    <row r="391">
      <c r="A391" s="18"/>
      <c r="B391" s="11"/>
      <c r="C391" s="11"/>
      <c r="D391" s="11"/>
      <c r="E391" s="11"/>
      <c r="F391" s="11"/>
      <c r="G391" s="11"/>
      <c r="H391" s="11"/>
      <c r="I391" s="11"/>
      <c r="J391" s="11"/>
      <c r="K391" s="11"/>
      <c r="L391" s="15"/>
      <c r="M391" s="15"/>
      <c r="N391" s="15"/>
      <c r="O391" s="15"/>
      <c r="P391" s="15"/>
      <c r="Q391" s="11"/>
      <c r="R391" s="11"/>
      <c r="S391" s="11"/>
      <c r="T391" s="11"/>
      <c r="U391" s="15"/>
      <c r="V391" s="11"/>
      <c r="W391" s="11"/>
      <c r="X391" s="11"/>
      <c r="Y391" s="11"/>
      <c r="Z391" s="11"/>
    </row>
    <row r="392">
      <c r="A392" s="18"/>
      <c r="B392" s="11"/>
      <c r="C392" s="11"/>
      <c r="D392" s="11"/>
      <c r="E392" s="11"/>
      <c r="F392" s="11"/>
      <c r="G392" s="11"/>
      <c r="H392" s="11"/>
      <c r="I392" s="11"/>
      <c r="J392" s="11"/>
      <c r="K392" s="11"/>
      <c r="L392" s="15"/>
      <c r="M392" s="15"/>
      <c r="N392" s="15"/>
      <c r="O392" s="15"/>
      <c r="P392" s="15"/>
      <c r="Q392" s="11"/>
      <c r="R392" s="11"/>
      <c r="S392" s="11"/>
      <c r="T392" s="11"/>
      <c r="U392" s="15"/>
      <c r="V392" s="11"/>
      <c r="W392" s="11"/>
      <c r="X392" s="11"/>
      <c r="Y392" s="11"/>
      <c r="Z392" s="11"/>
    </row>
    <row r="393">
      <c r="A393" s="18"/>
      <c r="B393" s="11"/>
      <c r="C393" s="11"/>
      <c r="D393" s="11"/>
      <c r="E393" s="11"/>
      <c r="F393" s="11"/>
      <c r="G393" s="11"/>
      <c r="H393" s="11"/>
      <c r="I393" s="11"/>
      <c r="J393" s="11"/>
      <c r="K393" s="11"/>
      <c r="L393" s="15"/>
      <c r="M393" s="15"/>
      <c r="N393" s="15"/>
      <c r="O393" s="15"/>
      <c r="P393" s="15"/>
      <c r="Q393" s="11"/>
      <c r="R393" s="11"/>
      <c r="S393" s="11"/>
      <c r="T393" s="11"/>
      <c r="U393" s="15"/>
      <c r="V393" s="11"/>
      <c r="W393" s="11"/>
      <c r="X393" s="11"/>
      <c r="Y393" s="11"/>
      <c r="Z393" s="11"/>
    </row>
    <row r="394">
      <c r="A394" s="18"/>
      <c r="B394" s="11"/>
      <c r="C394" s="11"/>
      <c r="D394" s="11"/>
      <c r="E394" s="11"/>
      <c r="F394" s="11"/>
      <c r="G394" s="11"/>
      <c r="H394" s="11"/>
      <c r="I394" s="11"/>
      <c r="J394" s="11"/>
      <c r="K394" s="11"/>
      <c r="L394" s="15"/>
      <c r="M394" s="15"/>
      <c r="N394" s="15"/>
      <c r="O394" s="15"/>
      <c r="P394" s="15"/>
      <c r="Q394" s="11"/>
      <c r="R394" s="11"/>
      <c r="S394" s="11"/>
      <c r="T394" s="11"/>
      <c r="U394" s="15"/>
      <c r="V394" s="11"/>
      <c r="W394" s="11"/>
      <c r="X394" s="11"/>
      <c r="Y394" s="11"/>
      <c r="Z394" s="11"/>
    </row>
    <row r="395">
      <c r="A395" s="18"/>
      <c r="B395" s="11"/>
      <c r="C395" s="11"/>
      <c r="D395" s="11"/>
      <c r="E395" s="11"/>
      <c r="F395" s="11"/>
      <c r="G395" s="11"/>
      <c r="H395" s="11"/>
      <c r="I395" s="11"/>
      <c r="J395" s="11"/>
      <c r="K395" s="11"/>
      <c r="L395" s="15"/>
      <c r="M395" s="15"/>
      <c r="N395" s="15"/>
      <c r="O395" s="15"/>
      <c r="P395" s="15"/>
      <c r="Q395" s="11"/>
      <c r="R395" s="11"/>
      <c r="S395" s="11"/>
      <c r="T395" s="11"/>
      <c r="U395" s="15"/>
      <c r="V395" s="11"/>
      <c r="W395" s="11"/>
      <c r="X395" s="11"/>
      <c r="Y395" s="11"/>
      <c r="Z395" s="11"/>
    </row>
    <row r="396">
      <c r="A396" s="18"/>
      <c r="B396" s="11"/>
      <c r="C396" s="11"/>
      <c r="D396" s="11"/>
      <c r="E396" s="11"/>
      <c r="F396" s="11"/>
      <c r="G396" s="11"/>
      <c r="H396" s="11"/>
      <c r="I396" s="11"/>
      <c r="J396" s="11"/>
      <c r="K396" s="11"/>
      <c r="L396" s="15"/>
      <c r="M396" s="15"/>
      <c r="N396" s="15"/>
      <c r="O396" s="15"/>
      <c r="P396" s="15"/>
      <c r="Q396" s="11"/>
      <c r="R396" s="11"/>
      <c r="S396" s="11"/>
      <c r="T396" s="11"/>
      <c r="U396" s="15"/>
      <c r="V396" s="11"/>
      <c r="W396" s="11"/>
      <c r="X396" s="11"/>
      <c r="Y396" s="11"/>
      <c r="Z396" s="11"/>
    </row>
    <row r="397">
      <c r="A397" s="18"/>
      <c r="B397" s="11"/>
      <c r="C397" s="11"/>
      <c r="D397" s="11"/>
      <c r="E397" s="11"/>
      <c r="F397" s="11"/>
      <c r="G397" s="11"/>
      <c r="H397" s="11"/>
      <c r="I397" s="11"/>
      <c r="J397" s="11"/>
      <c r="K397" s="11"/>
      <c r="L397" s="15"/>
      <c r="M397" s="15"/>
      <c r="N397" s="15"/>
      <c r="O397" s="15"/>
      <c r="P397" s="15"/>
      <c r="Q397" s="11"/>
      <c r="R397" s="11"/>
      <c r="S397" s="11"/>
      <c r="T397" s="11"/>
      <c r="U397" s="15"/>
      <c r="V397" s="11"/>
      <c r="W397" s="11"/>
      <c r="X397" s="11"/>
      <c r="Y397" s="11"/>
      <c r="Z397" s="11"/>
    </row>
    <row r="398">
      <c r="A398" s="18"/>
      <c r="B398" s="11"/>
      <c r="C398" s="11"/>
      <c r="D398" s="11"/>
      <c r="E398" s="11"/>
      <c r="F398" s="11"/>
      <c r="G398" s="11"/>
      <c r="H398" s="11"/>
      <c r="I398" s="11"/>
      <c r="J398" s="11"/>
      <c r="K398" s="11"/>
      <c r="L398" s="15"/>
      <c r="M398" s="15"/>
      <c r="N398" s="15"/>
      <c r="O398" s="15"/>
      <c r="P398" s="15"/>
      <c r="Q398" s="11"/>
      <c r="R398" s="11"/>
      <c r="S398" s="11"/>
      <c r="T398" s="11"/>
      <c r="U398" s="15"/>
      <c r="V398" s="11"/>
      <c r="W398" s="11"/>
      <c r="X398" s="11"/>
      <c r="Y398" s="11"/>
      <c r="Z398" s="11"/>
    </row>
    <row r="399">
      <c r="A399" s="18"/>
      <c r="B399" s="11"/>
      <c r="C399" s="11"/>
      <c r="D399" s="11"/>
      <c r="E399" s="11"/>
      <c r="F399" s="11"/>
      <c r="G399" s="11"/>
      <c r="H399" s="11"/>
      <c r="I399" s="11"/>
      <c r="J399" s="11"/>
      <c r="K399" s="11"/>
      <c r="L399" s="15"/>
      <c r="M399" s="15"/>
      <c r="N399" s="15"/>
      <c r="O399" s="15"/>
      <c r="P399" s="15"/>
      <c r="Q399" s="11"/>
      <c r="R399" s="11"/>
      <c r="S399" s="11"/>
      <c r="T399" s="11"/>
      <c r="U399" s="15"/>
      <c r="V399" s="11"/>
      <c r="W399" s="11"/>
      <c r="X399" s="11"/>
      <c r="Y399" s="11"/>
      <c r="Z399" s="11"/>
    </row>
    <row r="400">
      <c r="A400" s="18"/>
      <c r="B400" s="11"/>
      <c r="C400" s="11"/>
      <c r="D400" s="11"/>
      <c r="E400" s="11"/>
      <c r="F400" s="11"/>
      <c r="G400" s="11"/>
      <c r="H400" s="11"/>
      <c r="I400" s="11"/>
      <c r="J400" s="11"/>
      <c r="K400" s="11"/>
      <c r="L400" s="15"/>
      <c r="M400" s="15"/>
      <c r="N400" s="15"/>
      <c r="O400" s="15"/>
      <c r="P400" s="15"/>
      <c r="Q400" s="11"/>
      <c r="R400" s="11"/>
      <c r="S400" s="11"/>
      <c r="T400" s="11"/>
      <c r="U400" s="15"/>
      <c r="V400" s="11"/>
      <c r="W400" s="11"/>
      <c r="X400" s="11"/>
      <c r="Y400" s="11"/>
      <c r="Z400" s="11"/>
    </row>
    <row r="401">
      <c r="A401" s="18"/>
      <c r="B401" s="11"/>
      <c r="C401" s="11"/>
      <c r="D401" s="11"/>
      <c r="E401" s="11"/>
      <c r="F401" s="11"/>
      <c r="G401" s="11"/>
      <c r="H401" s="11"/>
      <c r="I401" s="11"/>
      <c r="J401" s="11"/>
      <c r="K401" s="11"/>
      <c r="L401" s="15"/>
      <c r="M401" s="15"/>
      <c r="N401" s="15"/>
      <c r="O401" s="15"/>
      <c r="P401" s="15"/>
      <c r="Q401" s="11"/>
      <c r="R401" s="11"/>
      <c r="S401" s="11"/>
      <c r="T401" s="11"/>
      <c r="U401" s="15"/>
      <c r="V401" s="11"/>
      <c r="W401" s="11"/>
      <c r="X401" s="11"/>
      <c r="Y401" s="11"/>
      <c r="Z401" s="11"/>
    </row>
    <row r="402">
      <c r="A402" s="18"/>
      <c r="B402" s="11"/>
      <c r="C402" s="11"/>
      <c r="D402" s="11"/>
      <c r="E402" s="11"/>
      <c r="F402" s="11"/>
      <c r="G402" s="11"/>
      <c r="H402" s="11"/>
      <c r="I402" s="11"/>
      <c r="J402" s="11"/>
      <c r="K402" s="11"/>
      <c r="L402" s="15"/>
      <c r="M402" s="15"/>
      <c r="N402" s="15"/>
      <c r="O402" s="15"/>
      <c r="P402" s="15"/>
      <c r="Q402" s="11"/>
      <c r="R402" s="11"/>
      <c r="S402" s="11"/>
      <c r="T402" s="11"/>
      <c r="U402" s="15"/>
      <c r="V402" s="11"/>
      <c r="W402" s="11"/>
      <c r="X402" s="11"/>
      <c r="Y402" s="11"/>
      <c r="Z402" s="11"/>
    </row>
    <row r="403">
      <c r="A403" s="18"/>
      <c r="B403" s="11"/>
      <c r="C403" s="11"/>
      <c r="D403" s="11"/>
      <c r="E403" s="11"/>
      <c r="F403" s="11"/>
      <c r="G403" s="11"/>
      <c r="H403" s="11"/>
      <c r="I403" s="11"/>
      <c r="J403" s="11"/>
      <c r="K403" s="11"/>
      <c r="L403" s="15"/>
      <c r="M403" s="15"/>
      <c r="N403" s="15"/>
      <c r="O403" s="15"/>
      <c r="P403" s="15"/>
      <c r="Q403" s="11"/>
      <c r="R403" s="11"/>
      <c r="S403" s="11"/>
      <c r="T403" s="11"/>
      <c r="U403" s="15"/>
      <c r="V403" s="11"/>
      <c r="W403" s="11"/>
      <c r="X403" s="11"/>
      <c r="Y403" s="11"/>
      <c r="Z403" s="11"/>
    </row>
    <row r="404">
      <c r="A404" s="18"/>
      <c r="B404" s="11"/>
      <c r="C404" s="11"/>
      <c r="D404" s="11"/>
      <c r="E404" s="11"/>
      <c r="F404" s="11"/>
      <c r="G404" s="11"/>
      <c r="H404" s="11"/>
      <c r="I404" s="11"/>
      <c r="J404" s="11"/>
      <c r="K404" s="11"/>
      <c r="L404" s="15"/>
      <c r="M404" s="15"/>
      <c r="N404" s="15"/>
      <c r="O404" s="15"/>
      <c r="P404" s="15"/>
      <c r="Q404" s="11"/>
      <c r="R404" s="11"/>
      <c r="S404" s="11"/>
      <c r="T404" s="11"/>
      <c r="U404" s="15"/>
      <c r="V404" s="11"/>
      <c r="W404" s="11"/>
      <c r="X404" s="11"/>
      <c r="Y404" s="11"/>
      <c r="Z404" s="11"/>
    </row>
    <row r="405">
      <c r="A405" s="18"/>
      <c r="B405" s="11"/>
      <c r="C405" s="11"/>
      <c r="D405" s="11"/>
      <c r="E405" s="11"/>
      <c r="F405" s="11"/>
      <c r="G405" s="11"/>
      <c r="H405" s="11"/>
      <c r="I405" s="11"/>
      <c r="J405" s="11"/>
      <c r="K405" s="11"/>
      <c r="L405" s="15"/>
      <c r="M405" s="15"/>
      <c r="N405" s="15"/>
      <c r="O405" s="15"/>
      <c r="P405" s="15"/>
      <c r="Q405" s="11"/>
      <c r="R405" s="11"/>
      <c r="S405" s="11"/>
      <c r="T405" s="11"/>
      <c r="U405" s="15"/>
      <c r="V405" s="11"/>
      <c r="W405" s="11"/>
      <c r="X405" s="11"/>
      <c r="Y405" s="11"/>
      <c r="Z405" s="11"/>
    </row>
    <row r="406">
      <c r="A406" s="18"/>
      <c r="B406" s="11"/>
      <c r="C406" s="11"/>
      <c r="D406" s="11"/>
      <c r="E406" s="11"/>
      <c r="F406" s="11"/>
      <c r="G406" s="11"/>
      <c r="H406" s="11"/>
      <c r="I406" s="11"/>
      <c r="J406" s="11"/>
      <c r="K406" s="11"/>
      <c r="L406" s="15"/>
      <c r="M406" s="15"/>
      <c r="N406" s="15"/>
      <c r="O406" s="15"/>
      <c r="P406" s="15"/>
      <c r="Q406" s="11"/>
      <c r="R406" s="11"/>
      <c r="S406" s="11"/>
      <c r="T406" s="11"/>
      <c r="U406" s="15"/>
      <c r="V406" s="11"/>
      <c r="W406" s="11"/>
      <c r="X406" s="11"/>
      <c r="Y406" s="11"/>
      <c r="Z406" s="11"/>
    </row>
    <row r="407">
      <c r="A407" s="18"/>
      <c r="B407" s="11"/>
      <c r="C407" s="11"/>
      <c r="D407" s="11"/>
      <c r="E407" s="11"/>
      <c r="F407" s="11"/>
      <c r="G407" s="11"/>
      <c r="H407" s="11"/>
      <c r="I407" s="11"/>
      <c r="J407" s="11"/>
      <c r="K407" s="11"/>
      <c r="L407" s="15"/>
      <c r="M407" s="15"/>
      <c r="N407" s="15"/>
      <c r="O407" s="15"/>
      <c r="P407" s="15"/>
      <c r="Q407" s="11"/>
      <c r="R407" s="11"/>
      <c r="S407" s="11"/>
      <c r="T407" s="11"/>
      <c r="U407" s="15"/>
      <c r="V407" s="11"/>
      <c r="W407" s="11"/>
      <c r="X407" s="11"/>
      <c r="Y407" s="11"/>
      <c r="Z407" s="11"/>
    </row>
    <row r="408">
      <c r="A408" s="18"/>
      <c r="B408" s="11"/>
      <c r="C408" s="11"/>
      <c r="D408" s="11"/>
      <c r="E408" s="11"/>
      <c r="F408" s="11"/>
      <c r="G408" s="11"/>
      <c r="H408" s="11"/>
      <c r="I408" s="11"/>
      <c r="J408" s="11"/>
      <c r="K408" s="11"/>
      <c r="L408" s="15"/>
      <c r="M408" s="15"/>
      <c r="N408" s="15"/>
      <c r="O408" s="15"/>
      <c r="P408" s="15"/>
      <c r="Q408" s="11"/>
      <c r="R408" s="11"/>
      <c r="S408" s="11"/>
      <c r="T408" s="11"/>
      <c r="U408" s="15"/>
      <c r="V408" s="11"/>
      <c r="W408" s="11"/>
      <c r="X408" s="11"/>
      <c r="Y408" s="11"/>
      <c r="Z408" s="11"/>
    </row>
    <row r="409">
      <c r="A409" s="18"/>
      <c r="B409" s="11"/>
      <c r="C409" s="11"/>
      <c r="D409" s="11"/>
      <c r="E409" s="11"/>
      <c r="F409" s="11"/>
      <c r="G409" s="11"/>
      <c r="H409" s="11"/>
      <c r="I409" s="11"/>
      <c r="J409" s="11"/>
      <c r="K409" s="11"/>
      <c r="L409" s="15"/>
      <c r="M409" s="15"/>
      <c r="N409" s="15"/>
      <c r="O409" s="15"/>
      <c r="P409" s="15"/>
      <c r="Q409" s="11"/>
      <c r="R409" s="11"/>
      <c r="S409" s="11"/>
      <c r="T409" s="11"/>
      <c r="U409" s="15"/>
      <c r="V409" s="11"/>
      <c r="W409" s="11"/>
      <c r="X409" s="11"/>
      <c r="Y409" s="11"/>
      <c r="Z409" s="11"/>
    </row>
    <row r="410">
      <c r="A410" s="18"/>
      <c r="B410" s="11"/>
      <c r="C410" s="11"/>
      <c r="D410" s="11"/>
      <c r="E410" s="11"/>
      <c r="F410" s="11"/>
      <c r="G410" s="11"/>
      <c r="H410" s="11"/>
      <c r="I410" s="11"/>
      <c r="J410" s="11"/>
      <c r="K410" s="11"/>
      <c r="L410" s="15"/>
      <c r="M410" s="15"/>
      <c r="N410" s="15"/>
      <c r="O410" s="15"/>
      <c r="P410" s="15"/>
      <c r="Q410" s="11"/>
      <c r="R410" s="11"/>
      <c r="S410" s="11"/>
      <c r="T410" s="11"/>
      <c r="U410" s="15"/>
      <c r="V410" s="11"/>
      <c r="W410" s="11"/>
      <c r="X410" s="11"/>
      <c r="Y410" s="11"/>
      <c r="Z410" s="11"/>
    </row>
    <row r="411">
      <c r="A411" s="18"/>
      <c r="B411" s="11"/>
      <c r="C411" s="11"/>
      <c r="D411" s="11"/>
      <c r="E411" s="11"/>
      <c r="F411" s="11"/>
      <c r="G411" s="11"/>
      <c r="H411" s="11"/>
      <c r="I411" s="11"/>
      <c r="J411" s="11"/>
      <c r="K411" s="11"/>
      <c r="L411" s="15"/>
      <c r="M411" s="15"/>
      <c r="N411" s="15"/>
      <c r="O411" s="15"/>
      <c r="P411" s="15"/>
      <c r="Q411" s="11"/>
      <c r="R411" s="11"/>
      <c r="S411" s="11"/>
      <c r="T411" s="11"/>
      <c r="U411" s="15"/>
      <c r="V411" s="11"/>
      <c r="W411" s="11"/>
      <c r="X411" s="11"/>
      <c r="Y411" s="11"/>
      <c r="Z411" s="11"/>
    </row>
    <row r="412">
      <c r="A412" s="18"/>
      <c r="B412" s="11"/>
      <c r="C412" s="11"/>
      <c r="D412" s="11"/>
      <c r="E412" s="11"/>
      <c r="F412" s="11"/>
      <c r="G412" s="11"/>
      <c r="H412" s="11"/>
      <c r="I412" s="11"/>
      <c r="J412" s="11"/>
      <c r="K412" s="11"/>
      <c r="L412" s="15"/>
      <c r="M412" s="15"/>
      <c r="N412" s="15"/>
      <c r="O412" s="15"/>
      <c r="P412" s="15"/>
      <c r="Q412" s="11"/>
      <c r="R412" s="11"/>
      <c r="S412" s="11"/>
      <c r="T412" s="11"/>
      <c r="U412" s="15"/>
      <c r="V412" s="11"/>
      <c r="W412" s="11"/>
      <c r="X412" s="11"/>
      <c r="Y412" s="11"/>
      <c r="Z412" s="11"/>
    </row>
    <row r="413">
      <c r="A413" s="18"/>
      <c r="B413" s="11"/>
      <c r="C413" s="11"/>
      <c r="D413" s="11"/>
      <c r="E413" s="11"/>
      <c r="F413" s="11"/>
      <c r="G413" s="11"/>
      <c r="H413" s="11"/>
      <c r="I413" s="11"/>
      <c r="J413" s="11"/>
      <c r="K413" s="11"/>
      <c r="L413" s="15"/>
      <c r="M413" s="15"/>
      <c r="N413" s="15"/>
      <c r="O413" s="15"/>
      <c r="P413" s="15"/>
      <c r="Q413" s="11"/>
      <c r="R413" s="11"/>
      <c r="S413" s="11"/>
      <c r="T413" s="11"/>
      <c r="U413" s="15"/>
      <c r="V413" s="11"/>
      <c r="W413" s="11"/>
      <c r="X413" s="11"/>
      <c r="Y413" s="11"/>
      <c r="Z413" s="11"/>
    </row>
    <row r="414">
      <c r="A414" s="18"/>
      <c r="B414" s="11"/>
      <c r="C414" s="11"/>
      <c r="D414" s="11"/>
      <c r="E414" s="11"/>
      <c r="F414" s="11"/>
      <c r="G414" s="11"/>
      <c r="H414" s="11"/>
      <c r="I414" s="11"/>
      <c r="J414" s="11"/>
      <c r="K414" s="11"/>
      <c r="L414" s="15"/>
      <c r="M414" s="15"/>
      <c r="N414" s="15"/>
      <c r="O414" s="15"/>
      <c r="P414" s="15"/>
      <c r="Q414" s="11"/>
      <c r="R414" s="11"/>
      <c r="S414" s="11"/>
      <c r="T414" s="11"/>
      <c r="U414" s="15"/>
      <c r="V414" s="11"/>
      <c r="W414" s="11"/>
      <c r="X414" s="11"/>
      <c r="Y414" s="11"/>
      <c r="Z414" s="11"/>
    </row>
    <row r="415">
      <c r="A415" s="18"/>
      <c r="B415" s="11"/>
      <c r="C415" s="11"/>
      <c r="D415" s="11"/>
      <c r="E415" s="11"/>
      <c r="F415" s="11"/>
      <c r="G415" s="11"/>
      <c r="H415" s="11"/>
      <c r="I415" s="11"/>
      <c r="J415" s="11"/>
      <c r="K415" s="11"/>
      <c r="L415" s="15"/>
      <c r="M415" s="15"/>
      <c r="N415" s="15"/>
      <c r="O415" s="15"/>
      <c r="P415" s="15"/>
      <c r="Q415" s="11"/>
      <c r="R415" s="11"/>
      <c r="S415" s="11"/>
      <c r="T415" s="11"/>
      <c r="U415" s="15"/>
      <c r="V415" s="11"/>
      <c r="W415" s="11"/>
      <c r="X415" s="11"/>
      <c r="Y415" s="11"/>
      <c r="Z415" s="11"/>
    </row>
    <row r="416">
      <c r="A416" s="18"/>
      <c r="B416" s="11"/>
      <c r="C416" s="11"/>
      <c r="D416" s="11"/>
      <c r="E416" s="11"/>
      <c r="F416" s="11"/>
      <c r="G416" s="11"/>
      <c r="H416" s="11"/>
      <c r="I416" s="11"/>
      <c r="J416" s="11"/>
      <c r="K416" s="11"/>
      <c r="L416" s="15"/>
      <c r="M416" s="15"/>
      <c r="N416" s="15"/>
      <c r="O416" s="15"/>
      <c r="P416" s="15"/>
      <c r="Q416" s="11"/>
      <c r="R416" s="11"/>
      <c r="S416" s="11"/>
      <c r="T416" s="11"/>
      <c r="U416" s="15"/>
      <c r="V416" s="11"/>
      <c r="W416" s="11"/>
      <c r="X416" s="11"/>
      <c r="Y416" s="11"/>
      <c r="Z416" s="11"/>
    </row>
    <row r="417">
      <c r="A417" s="18"/>
      <c r="B417" s="11"/>
      <c r="C417" s="11"/>
      <c r="D417" s="11"/>
      <c r="E417" s="11"/>
      <c r="F417" s="11"/>
      <c r="G417" s="11"/>
      <c r="H417" s="11"/>
      <c r="I417" s="11"/>
      <c r="J417" s="11"/>
      <c r="K417" s="11"/>
      <c r="L417" s="15"/>
      <c r="M417" s="15"/>
      <c r="N417" s="15"/>
      <c r="O417" s="15"/>
      <c r="P417" s="15"/>
      <c r="Q417" s="11"/>
      <c r="R417" s="11"/>
      <c r="S417" s="11"/>
      <c r="T417" s="11"/>
      <c r="U417" s="15"/>
      <c r="V417" s="11"/>
      <c r="W417" s="11"/>
      <c r="X417" s="11"/>
      <c r="Y417" s="11"/>
      <c r="Z417" s="11"/>
    </row>
    <row r="418">
      <c r="A418" s="18"/>
      <c r="B418" s="11"/>
      <c r="C418" s="11"/>
      <c r="D418" s="11"/>
      <c r="E418" s="11"/>
      <c r="F418" s="11"/>
      <c r="G418" s="11"/>
      <c r="H418" s="11"/>
      <c r="I418" s="11"/>
      <c r="J418" s="11"/>
      <c r="K418" s="11"/>
      <c r="L418" s="15"/>
      <c r="M418" s="15"/>
      <c r="N418" s="15"/>
      <c r="O418" s="15"/>
      <c r="P418" s="15"/>
      <c r="Q418" s="11"/>
      <c r="R418" s="11"/>
      <c r="S418" s="11"/>
      <c r="T418" s="11"/>
      <c r="U418" s="15"/>
      <c r="V418" s="11"/>
      <c r="W418" s="11"/>
      <c r="X418" s="11"/>
      <c r="Y418" s="11"/>
      <c r="Z418" s="11"/>
    </row>
    <row r="419">
      <c r="A419" s="18"/>
      <c r="B419" s="11"/>
      <c r="C419" s="11"/>
      <c r="D419" s="11"/>
      <c r="E419" s="11"/>
      <c r="F419" s="11"/>
      <c r="G419" s="11"/>
      <c r="H419" s="11"/>
      <c r="I419" s="11"/>
      <c r="J419" s="11"/>
      <c r="K419" s="11"/>
      <c r="L419" s="15"/>
      <c r="M419" s="15"/>
      <c r="N419" s="15"/>
      <c r="O419" s="15"/>
      <c r="P419" s="15"/>
      <c r="Q419" s="11"/>
      <c r="R419" s="11"/>
      <c r="S419" s="11"/>
      <c r="T419" s="11"/>
      <c r="U419" s="15"/>
      <c r="V419" s="11"/>
      <c r="W419" s="11"/>
      <c r="X419" s="11"/>
      <c r="Y419" s="11"/>
      <c r="Z419" s="11"/>
    </row>
    <row r="420">
      <c r="A420" s="18"/>
      <c r="B420" s="11"/>
      <c r="C420" s="11"/>
      <c r="D420" s="11"/>
      <c r="E420" s="11"/>
      <c r="F420" s="11"/>
      <c r="G420" s="11"/>
      <c r="H420" s="11"/>
      <c r="I420" s="11"/>
      <c r="J420" s="11"/>
      <c r="K420" s="11"/>
      <c r="L420" s="15"/>
      <c r="M420" s="15"/>
      <c r="N420" s="15"/>
      <c r="O420" s="15"/>
      <c r="P420" s="15"/>
      <c r="Q420" s="11"/>
      <c r="R420" s="11"/>
      <c r="S420" s="11"/>
      <c r="T420" s="11"/>
      <c r="U420" s="15"/>
      <c r="V420" s="11"/>
      <c r="W420" s="11"/>
      <c r="X420" s="11"/>
      <c r="Y420" s="11"/>
      <c r="Z420" s="11"/>
    </row>
    <row r="421">
      <c r="A421" s="18"/>
      <c r="B421" s="11"/>
      <c r="C421" s="11"/>
      <c r="D421" s="11"/>
      <c r="E421" s="11"/>
      <c r="F421" s="11"/>
      <c r="G421" s="11"/>
      <c r="H421" s="11"/>
      <c r="I421" s="11"/>
      <c r="J421" s="11"/>
      <c r="K421" s="11"/>
      <c r="L421" s="15"/>
      <c r="M421" s="15"/>
      <c r="N421" s="15"/>
      <c r="O421" s="15"/>
      <c r="P421" s="15"/>
      <c r="Q421" s="11"/>
      <c r="R421" s="11"/>
      <c r="S421" s="11"/>
      <c r="T421" s="11"/>
      <c r="U421" s="15"/>
      <c r="V421" s="11"/>
      <c r="W421" s="11"/>
      <c r="X421" s="11"/>
      <c r="Y421" s="11"/>
      <c r="Z421" s="11"/>
    </row>
    <row r="422">
      <c r="A422" s="18"/>
      <c r="B422" s="11"/>
      <c r="C422" s="11"/>
      <c r="D422" s="11"/>
      <c r="E422" s="11"/>
      <c r="F422" s="11"/>
      <c r="G422" s="11"/>
      <c r="H422" s="11"/>
      <c r="I422" s="11"/>
      <c r="J422" s="11"/>
      <c r="K422" s="11"/>
      <c r="L422" s="15"/>
      <c r="M422" s="15"/>
      <c r="N422" s="15"/>
      <c r="O422" s="15"/>
      <c r="P422" s="15"/>
      <c r="Q422" s="11"/>
      <c r="R422" s="11"/>
      <c r="S422" s="11"/>
      <c r="T422" s="11"/>
      <c r="U422" s="15"/>
      <c r="V422" s="11"/>
      <c r="W422" s="11"/>
      <c r="X422" s="11"/>
      <c r="Y422" s="11"/>
      <c r="Z422" s="11"/>
    </row>
    <row r="423">
      <c r="A423" s="18"/>
      <c r="B423" s="11"/>
      <c r="C423" s="11"/>
      <c r="D423" s="11"/>
      <c r="E423" s="11"/>
      <c r="F423" s="11"/>
      <c r="G423" s="11"/>
      <c r="H423" s="11"/>
      <c r="I423" s="11"/>
      <c r="J423" s="11"/>
      <c r="K423" s="11"/>
      <c r="L423" s="15"/>
      <c r="M423" s="15"/>
      <c r="N423" s="15"/>
      <c r="O423" s="15"/>
      <c r="P423" s="15"/>
      <c r="Q423" s="11"/>
      <c r="R423" s="11"/>
      <c r="S423" s="11"/>
      <c r="T423" s="11"/>
      <c r="U423" s="15"/>
      <c r="V423" s="11"/>
      <c r="W423" s="11"/>
      <c r="X423" s="11"/>
      <c r="Y423" s="11"/>
      <c r="Z423" s="11"/>
    </row>
    <row r="424">
      <c r="A424" s="18"/>
      <c r="B424" s="11"/>
      <c r="C424" s="11"/>
      <c r="D424" s="11"/>
      <c r="E424" s="11"/>
      <c r="F424" s="11"/>
      <c r="G424" s="11"/>
      <c r="H424" s="11"/>
      <c r="I424" s="11"/>
      <c r="J424" s="11"/>
      <c r="K424" s="11"/>
      <c r="L424" s="15"/>
      <c r="M424" s="15"/>
      <c r="N424" s="15"/>
      <c r="O424" s="15"/>
      <c r="P424" s="15"/>
      <c r="Q424" s="11"/>
      <c r="R424" s="11"/>
      <c r="S424" s="11"/>
      <c r="T424" s="11"/>
      <c r="U424" s="15"/>
      <c r="V424" s="11"/>
      <c r="W424" s="11"/>
      <c r="X424" s="11"/>
      <c r="Y424" s="11"/>
      <c r="Z424" s="11"/>
    </row>
    <row r="425">
      <c r="A425" s="18"/>
      <c r="B425" s="11"/>
      <c r="C425" s="11"/>
      <c r="D425" s="11"/>
      <c r="E425" s="11"/>
      <c r="F425" s="11"/>
      <c r="G425" s="11"/>
      <c r="H425" s="11"/>
      <c r="I425" s="11"/>
      <c r="J425" s="11"/>
      <c r="K425" s="11"/>
      <c r="L425" s="15"/>
      <c r="M425" s="15"/>
      <c r="N425" s="15"/>
      <c r="O425" s="15"/>
      <c r="P425" s="15"/>
      <c r="Q425" s="11"/>
      <c r="R425" s="11"/>
      <c r="S425" s="11"/>
      <c r="T425" s="11"/>
      <c r="U425" s="15"/>
      <c r="V425" s="11"/>
      <c r="W425" s="11"/>
      <c r="X425" s="11"/>
      <c r="Y425" s="11"/>
      <c r="Z425" s="11"/>
    </row>
    <row r="426">
      <c r="A426" s="18"/>
      <c r="B426" s="11"/>
      <c r="C426" s="11"/>
      <c r="D426" s="11"/>
      <c r="E426" s="11"/>
      <c r="F426" s="11"/>
      <c r="G426" s="11"/>
      <c r="H426" s="11"/>
      <c r="I426" s="11"/>
      <c r="J426" s="11"/>
      <c r="K426" s="11"/>
      <c r="L426" s="15"/>
      <c r="M426" s="15"/>
      <c r="N426" s="15"/>
      <c r="O426" s="15"/>
      <c r="P426" s="15"/>
      <c r="Q426" s="11"/>
      <c r="R426" s="11"/>
      <c r="S426" s="11"/>
      <c r="T426" s="11"/>
      <c r="U426" s="15"/>
      <c r="V426" s="11"/>
      <c r="W426" s="11"/>
      <c r="X426" s="11"/>
      <c r="Y426" s="11"/>
      <c r="Z426" s="11"/>
    </row>
    <row r="427">
      <c r="A427" s="18"/>
      <c r="B427" s="11"/>
      <c r="C427" s="11"/>
      <c r="D427" s="11"/>
      <c r="E427" s="11"/>
      <c r="F427" s="11"/>
      <c r="G427" s="11"/>
      <c r="H427" s="11"/>
      <c r="I427" s="11"/>
      <c r="J427" s="11"/>
      <c r="K427" s="11"/>
      <c r="L427" s="15"/>
      <c r="M427" s="15"/>
      <c r="N427" s="15"/>
      <c r="O427" s="15"/>
      <c r="P427" s="15"/>
      <c r="Q427" s="11"/>
      <c r="R427" s="11"/>
      <c r="S427" s="11"/>
      <c r="T427" s="11"/>
      <c r="U427" s="15"/>
      <c r="V427" s="11"/>
      <c r="W427" s="11"/>
      <c r="X427" s="11"/>
      <c r="Y427" s="11"/>
      <c r="Z427" s="11"/>
    </row>
    <row r="428">
      <c r="A428" s="18"/>
      <c r="B428" s="11"/>
      <c r="C428" s="11"/>
      <c r="D428" s="11"/>
      <c r="E428" s="11"/>
      <c r="F428" s="11"/>
      <c r="G428" s="11"/>
      <c r="H428" s="11"/>
      <c r="I428" s="11"/>
      <c r="J428" s="11"/>
      <c r="K428" s="11"/>
      <c r="L428" s="15"/>
      <c r="M428" s="15"/>
      <c r="N428" s="15"/>
      <c r="O428" s="15"/>
      <c r="P428" s="15"/>
      <c r="Q428" s="11"/>
      <c r="R428" s="11"/>
      <c r="S428" s="11"/>
      <c r="T428" s="11"/>
      <c r="U428" s="15"/>
      <c r="V428" s="11"/>
      <c r="W428" s="11"/>
      <c r="X428" s="11"/>
      <c r="Y428" s="11"/>
      <c r="Z428" s="11"/>
    </row>
    <row r="429">
      <c r="A429" s="18"/>
      <c r="B429" s="11"/>
      <c r="C429" s="11"/>
      <c r="D429" s="11"/>
      <c r="E429" s="11"/>
      <c r="F429" s="11"/>
      <c r="G429" s="11"/>
      <c r="H429" s="11"/>
      <c r="I429" s="11"/>
      <c r="J429" s="11"/>
      <c r="K429" s="11"/>
      <c r="L429" s="15"/>
      <c r="M429" s="15"/>
      <c r="N429" s="15"/>
      <c r="O429" s="15"/>
      <c r="P429" s="15"/>
      <c r="Q429" s="11"/>
      <c r="R429" s="11"/>
      <c r="S429" s="11"/>
      <c r="T429" s="11"/>
      <c r="U429" s="15"/>
      <c r="V429" s="11"/>
      <c r="W429" s="11"/>
      <c r="X429" s="11"/>
      <c r="Y429" s="11"/>
      <c r="Z429" s="11"/>
    </row>
    <row r="430">
      <c r="A430" s="18"/>
      <c r="B430" s="11"/>
      <c r="C430" s="11"/>
      <c r="D430" s="11"/>
      <c r="E430" s="11"/>
      <c r="F430" s="11"/>
      <c r="G430" s="11"/>
      <c r="H430" s="11"/>
      <c r="I430" s="11"/>
      <c r="J430" s="11"/>
      <c r="K430" s="11"/>
      <c r="L430" s="15"/>
      <c r="M430" s="15"/>
      <c r="N430" s="15"/>
      <c r="O430" s="15"/>
      <c r="P430" s="15"/>
      <c r="Q430" s="11"/>
      <c r="R430" s="11"/>
      <c r="S430" s="11"/>
      <c r="T430" s="11"/>
      <c r="U430" s="15"/>
      <c r="V430" s="11"/>
      <c r="W430" s="11"/>
      <c r="X430" s="11"/>
      <c r="Y430" s="11"/>
      <c r="Z430" s="11"/>
    </row>
    <row r="431">
      <c r="A431" s="18"/>
      <c r="B431" s="11"/>
      <c r="C431" s="11"/>
      <c r="D431" s="11"/>
      <c r="E431" s="11"/>
      <c r="F431" s="11"/>
      <c r="G431" s="11"/>
      <c r="H431" s="11"/>
      <c r="I431" s="11"/>
      <c r="J431" s="11"/>
      <c r="K431" s="11"/>
      <c r="L431" s="15"/>
      <c r="M431" s="15"/>
      <c r="N431" s="15"/>
      <c r="O431" s="15"/>
      <c r="P431" s="15"/>
      <c r="Q431" s="11"/>
      <c r="R431" s="11"/>
      <c r="S431" s="11"/>
      <c r="T431" s="11"/>
      <c r="U431" s="15"/>
      <c r="V431" s="11"/>
      <c r="W431" s="11"/>
      <c r="X431" s="11"/>
      <c r="Y431" s="11"/>
      <c r="Z431" s="11"/>
    </row>
    <row r="432">
      <c r="A432" s="18"/>
      <c r="B432" s="11"/>
      <c r="C432" s="11"/>
      <c r="D432" s="11"/>
      <c r="E432" s="11"/>
      <c r="F432" s="11"/>
      <c r="G432" s="11"/>
      <c r="H432" s="11"/>
      <c r="I432" s="11"/>
      <c r="J432" s="11"/>
      <c r="K432" s="11"/>
      <c r="L432" s="15"/>
      <c r="M432" s="15"/>
      <c r="N432" s="15"/>
      <c r="O432" s="15"/>
      <c r="P432" s="15"/>
      <c r="Q432" s="11"/>
      <c r="R432" s="11"/>
      <c r="S432" s="11"/>
      <c r="T432" s="11"/>
      <c r="U432" s="15"/>
      <c r="V432" s="11"/>
      <c r="W432" s="11"/>
      <c r="X432" s="11"/>
      <c r="Y432" s="11"/>
      <c r="Z432" s="11"/>
    </row>
    <row r="433">
      <c r="A433" s="18"/>
      <c r="B433" s="11"/>
      <c r="C433" s="11"/>
      <c r="D433" s="11"/>
      <c r="E433" s="11"/>
      <c r="F433" s="11"/>
      <c r="G433" s="11"/>
      <c r="H433" s="11"/>
      <c r="I433" s="11"/>
      <c r="J433" s="11"/>
      <c r="K433" s="11"/>
      <c r="L433" s="15"/>
      <c r="M433" s="15"/>
      <c r="N433" s="15"/>
      <c r="O433" s="15"/>
      <c r="P433" s="15"/>
      <c r="Q433" s="11"/>
      <c r="R433" s="11"/>
      <c r="S433" s="11"/>
      <c r="T433" s="11"/>
      <c r="U433" s="15"/>
      <c r="V433" s="11"/>
      <c r="W433" s="11"/>
      <c r="X433" s="11"/>
      <c r="Y433" s="11"/>
      <c r="Z433" s="11"/>
    </row>
    <row r="434">
      <c r="A434" s="18"/>
      <c r="B434" s="11"/>
      <c r="C434" s="11"/>
      <c r="D434" s="11"/>
      <c r="E434" s="11"/>
      <c r="F434" s="11"/>
      <c r="G434" s="11"/>
      <c r="H434" s="11"/>
      <c r="I434" s="11"/>
      <c r="J434" s="11"/>
      <c r="K434" s="11"/>
      <c r="L434" s="15"/>
      <c r="M434" s="15"/>
      <c r="N434" s="15"/>
      <c r="O434" s="15"/>
      <c r="P434" s="15"/>
      <c r="Q434" s="11"/>
      <c r="R434" s="11"/>
      <c r="S434" s="11"/>
      <c r="T434" s="11"/>
      <c r="U434" s="15"/>
      <c r="V434" s="11"/>
      <c r="W434" s="11"/>
      <c r="X434" s="11"/>
      <c r="Y434" s="11"/>
      <c r="Z434" s="11"/>
    </row>
    <row r="435">
      <c r="A435" s="18"/>
      <c r="B435" s="11"/>
      <c r="C435" s="11"/>
      <c r="D435" s="11"/>
      <c r="E435" s="11"/>
      <c r="F435" s="11"/>
      <c r="G435" s="11"/>
      <c r="H435" s="11"/>
      <c r="I435" s="11"/>
      <c r="J435" s="11"/>
      <c r="K435" s="11"/>
      <c r="L435" s="15"/>
      <c r="M435" s="15"/>
      <c r="N435" s="15"/>
      <c r="O435" s="15"/>
      <c r="P435" s="15"/>
      <c r="Q435" s="11"/>
      <c r="R435" s="11"/>
      <c r="S435" s="11"/>
      <c r="T435" s="11"/>
      <c r="U435" s="15"/>
      <c r="V435" s="11"/>
      <c r="W435" s="11"/>
      <c r="X435" s="11"/>
      <c r="Y435" s="11"/>
      <c r="Z435" s="11"/>
    </row>
    <row r="436">
      <c r="A436" s="18"/>
      <c r="B436" s="11"/>
      <c r="C436" s="11"/>
      <c r="D436" s="11"/>
      <c r="E436" s="11"/>
      <c r="F436" s="11"/>
      <c r="G436" s="11"/>
      <c r="H436" s="11"/>
      <c r="I436" s="11"/>
      <c r="J436" s="11"/>
      <c r="K436" s="11"/>
      <c r="L436" s="15"/>
      <c r="M436" s="15"/>
      <c r="N436" s="15"/>
      <c r="O436" s="15"/>
      <c r="P436" s="15"/>
      <c r="Q436" s="11"/>
      <c r="R436" s="11"/>
      <c r="S436" s="11"/>
      <c r="T436" s="11"/>
      <c r="U436" s="15"/>
      <c r="V436" s="11"/>
      <c r="W436" s="11"/>
      <c r="X436" s="11"/>
      <c r="Y436" s="11"/>
      <c r="Z436" s="11"/>
    </row>
    <row r="437">
      <c r="A437" s="18"/>
      <c r="B437" s="11"/>
      <c r="C437" s="11"/>
      <c r="D437" s="11"/>
      <c r="E437" s="11"/>
      <c r="F437" s="11"/>
      <c r="G437" s="11"/>
      <c r="H437" s="11"/>
      <c r="I437" s="11"/>
      <c r="J437" s="11"/>
      <c r="K437" s="11"/>
      <c r="L437" s="15"/>
      <c r="M437" s="15"/>
      <c r="N437" s="15"/>
      <c r="O437" s="15"/>
      <c r="P437" s="15"/>
      <c r="Q437" s="11"/>
      <c r="R437" s="11"/>
      <c r="S437" s="11"/>
      <c r="T437" s="11"/>
      <c r="U437" s="15"/>
      <c r="V437" s="11"/>
      <c r="W437" s="11"/>
      <c r="X437" s="11"/>
      <c r="Y437" s="11"/>
      <c r="Z437" s="11"/>
    </row>
    <row r="438">
      <c r="A438" s="18"/>
      <c r="B438" s="11"/>
      <c r="C438" s="11"/>
      <c r="D438" s="11"/>
      <c r="E438" s="11"/>
      <c r="F438" s="11"/>
      <c r="G438" s="11"/>
      <c r="H438" s="11"/>
      <c r="I438" s="11"/>
      <c r="J438" s="11"/>
      <c r="K438" s="11"/>
      <c r="L438" s="15"/>
      <c r="M438" s="15"/>
      <c r="N438" s="15"/>
      <c r="O438" s="15"/>
      <c r="P438" s="15"/>
      <c r="Q438" s="11"/>
      <c r="R438" s="11"/>
      <c r="S438" s="11"/>
      <c r="T438" s="11"/>
      <c r="U438" s="15"/>
      <c r="V438" s="11"/>
      <c r="W438" s="11"/>
      <c r="X438" s="11"/>
      <c r="Y438" s="11"/>
      <c r="Z438" s="11"/>
    </row>
    <row r="439">
      <c r="A439" s="18"/>
      <c r="B439" s="11"/>
      <c r="C439" s="11"/>
      <c r="D439" s="11"/>
      <c r="E439" s="11"/>
      <c r="F439" s="11"/>
      <c r="G439" s="11"/>
      <c r="H439" s="11"/>
      <c r="I439" s="11"/>
      <c r="J439" s="11"/>
      <c r="K439" s="11"/>
      <c r="L439" s="15"/>
      <c r="M439" s="15"/>
      <c r="N439" s="15"/>
      <c r="O439" s="15"/>
      <c r="P439" s="15"/>
      <c r="Q439" s="11"/>
      <c r="R439" s="11"/>
      <c r="S439" s="11"/>
      <c r="T439" s="11"/>
      <c r="U439" s="15"/>
      <c r="V439" s="11"/>
      <c r="W439" s="11"/>
      <c r="X439" s="11"/>
      <c r="Y439" s="11"/>
      <c r="Z439" s="11"/>
    </row>
    <row r="440">
      <c r="A440" s="18"/>
      <c r="B440" s="11"/>
      <c r="C440" s="11"/>
      <c r="D440" s="11"/>
      <c r="E440" s="11"/>
      <c r="F440" s="11"/>
      <c r="G440" s="11"/>
      <c r="H440" s="11"/>
      <c r="I440" s="11"/>
      <c r="J440" s="11"/>
      <c r="K440" s="11"/>
      <c r="L440" s="15"/>
      <c r="M440" s="15"/>
      <c r="N440" s="15"/>
      <c r="O440" s="15"/>
      <c r="P440" s="15"/>
      <c r="Q440" s="11"/>
      <c r="R440" s="11"/>
      <c r="S440" s="11"/>
      <c r="T440" s="11"/>
      <c r="U440" s="15"/>
      <c r="V440" s="11"/>
      <c r="W440" s="11"/>
      <c r="X440" s="11"/>
      <c r="Y440" s="11"/>
      <c r="Z440" s="11"/>
    </row>
    <row r="441">
      <c r="A441" s="18"/>
      <c r="B441" s="11"/>
      <c r="C441" s="11"/>
      <c r="D441" s="11"/>
      <c r="E441" s="11"/>
      <c r="F441" s="11"/>
      <c r="G441" s="11"/>
      <c r="H441" s="11"/>
      <c r="I441" s="11"/>
      <c r="J441" s="11"/>
      <c r="K441" s="11"/>
      <c r="L441" s="15"/>
      <c r="M441" s="15"/>
      <c r="N441" s="15"/>
      <c r="O441" s="15"/>
      <c r="P441" s="15"/>
      <c r="Q441" s="11"/>
      <c r="R441" s="11"/>
      <c r="S441" s="11"/>
      <c r="T441" s="11"/>
      <c r="U441" s="15"/>
      <c r="V441" s="11"/>
      <c r="W441" s="11"/>
      <c r="X441" s="11"/>
      <c r="Y441" s="11"/>
      <c r="Z441" s="11"/>
    </row>
    <row r="442">
      <c r="A442" s="18"/>
      <c r="B442" s="11"/>
      <c r="C442" s="11"/>
      <c r="D442" s="11"/>
      <c r="E442" s="11"/>
      <c r="F442" s="11"/>
      <c r="G442" s="11"/>
      <c r="H442" s="11"/>
      <c r="I442" s="11"/>
      <c r="J442" s="11"/>
      <c r="K442" s="11"/>
      <c r="L442" s="15"/>
      <c r="M442" s="15"/>
      <c r="N442" s="15"/>
      <c r="O442" s="15"/>
      <c r="P442" s="15"/>
      <c r="Q442" s="11"/>
      <c r="R442" s="11"/>
      <c r="S442" s="11"/>
      <c r="T442" s="11"/>
      <c r="U442" s="15"/>
      <c r="V442" s="11"/>
      <c r="W442" s="11"/>
      <c r="X442" s="11"/>
      <c r="Y442" s="11"/>
      <c r="Z442" s="11"/>
    </row>
    <row r="443">
      <c r="A443" s="18"/>
      <c r="B443" s="11"/>
      <c r="C443" s="11"/>
      <c r="D443" s="11"/>
      <c r="E443" s="11"/>
      <c r="F443" s="11"/>
      <c r="G443" s="11"/>
      <c r="H443" s="11"/>
      <c r="I443" s="11"/>
      <c r="J443" s="11"/>
      <c r="K443" s="11"/>
      <c r="L443" s="15"/>
      <c r="M443" s="15"/>
      <c r="N443" s="15"/>
      <c r="O443" s="15"/>
      <c r="P443" s="15"/>
      <c r="Q443" s="11"/>
      <c r="R443" s="11"/>
      <c r="S443" s="11"/>
      <c r="T443" s="11"/>
      <c r="U443" s="15"/>
      <c r="V443" s="11"/>
      <c r="W443" s="11"/>
      <c r="X443" s="11"/>
      <c r="Y443" s="11"/>
      <c r="Z443" s="11"/>
    </row>
    <row r="444">
      <c r="A444" s="18"/>
      <c r="B444" s="11"/>
      <c r="C444" s="11"/>
      <c r="D444" s="11"/>
      <c r="E444" s="11"/>
      <c r="F444" s="11"/>
      <c r="G444" s="11"/>
      <c r="H444" s="11"/>
      <c r="I444" s="11"/>
      <c r="J444" s="11"/>
      <c r="K444" s="11"/>
      <c r="L444" s="15"/>
      <c r="M444" s="15"/>
      <c r="N444" s="15"/>
      <c r="O444" s="15"/>
      <c r="P444" s="15"/>
      <c r="Q444" s="11"/>
      <c r="R444" s="11"/>
      <c r="S444" s="11"/>
      <c r="T444" s="11"/>
      <c r="U444" s="15"/>
      <c r="V444" s="11"/>
      <c r="W444" s="11"/>
      <c r="X444" s="11"/>
      <c r="Y444" s="11"/>
      <c r="Z444" s="11"/>
    </row>
    <row r="445">
      <c r="A445" s="18"/>
      <c r="B445" s="11"/>
      <c r="C445" s="11"/>
      <c r="D445" s="11"/>
      <c r="E445" s="11"/>
      <c r="F445" s="11"/>
      <c r="G445" s="11"/>
      <c r="H445" s="11"/>
      <c r="I445" s="11"/>
      <c r="J445" s="11"/>
      <c r="K445" s="11"/>
      <c r="L445" s="15"/>
      <c r="M445" s="15"/>
      <c r="N445" s="15"/>
      <c r="O445" s="15"/>
      <c r="P445" s="15"/>
      <c r="Q445" s="11"/>
      <c r="R445" s="11"/>
      <c r="S445" s="11"/>
      <c r="T445" s="11"/>
      <c r="U445" s="15"/>
      <c r="V445" s="11"/>
      <c r="W445" s="11"/>
      <c r="X445" s="11"/>
      <c r="Y445" s="11"/>
      <c r="Z445" s="11"/>
    </row>
    <row r="446">
      <c r="A446" s="18"/>
      <c r="B446" s="11"/>
      <c r="C446" s="11"/>
      <c r="D446" s="11"/>
      <c r="E446" s="11"/>
      <c r="F446" s="11"/>
      <c r="G446" s="11"/>
      <c r="H446" s="11"/>
      <c r="I446" s="11"/>
      <c r="J446" s="11"/>
      <c r="K446" s="11"/>
      <c r="L446" s="15"/>
      <c r="M446" s="15"/>
      <c r="N446" s="15"/>
      <c r="O446" s="15"/>
      <c r="P446" s="15"/>
      <c r="Q446" s="11"/>
      <c r="R446" s="11"/>
      <c r="S446" s="11"/>
      <c r="T446" s="11"/>
      <c r="U446" s="15"/>
      <c r="V446" s="11"/>
      <c r="W446" s="11"/>
      <c r="X446" s="11"/>
      <c r="Y446" s="11"/>
      <c r="Z446" s="11"/>
    </row>
    <row r="447">
      <c r="A447" s="18"/>
      <c r="B447" s="11"/>
      <c r="C447" s="11"/>
      <c r="D447" s="11"/>
      <c r="E447" s="11"/>
      <c r="F447" s="11"/>
      <c r="G447" s="11"/>
      <c r="H447" s="11"/>
      <c r="I447" s="11"/>
      <c r="J447" s="11"/>
      <c r="K447" s="11"/>
      <c r="L447" s="15"/>
      <c r="M447" s="15"/>
      <c r="N447" s="15"/>
      <c r="O447" s="15"/>
      <c r="P447" s="15"/>
      <c r="Q447" s="11"/>
      <c r="R447" s="11"/>
      <c r="S447" s="11"/>
      <c r="T447" s="11"/>
      <c r="U447" s="15"/>
      <c r="V447" s="11"/>
      <c r="W447" s="11"/>
      <c r="X447" s="11"/>
      <c r="Y447" s="11"/>
      <c r="Z447" s="11"/>
    </row>
    <row r="448">
      <c r="A448" s="18"/>
      <c r="B448" s="11"/>
      <c r="C448" s="11"/>
      <c r="D448" s="11"/>
      <c r="E448" s="11"/>
      <c r="F448" s="11"/>
      <c r="G448" s="11"/>
      <c r="H448" s="11"/>
      <c r="I448" s="11"/>
      <c r="J448" s="11"/>
      <c r="K448" s="11"/>
      <c r="L448" s="15"/>
      <c r="M448" s="15"/>
      <c r="N448" s="15"/>
      <c r="O448" s="15"/>
      <c r="P448" s="15"/>
      <c r="Q448" s="11"/>
      <c r="R448" s="11"/>
      <c r="S448" s="11"/>
      <c r="T448" s="11"/>
      <c r="U448" s="15"/>
      <c r="V448" s="11"/>
      <c r="W448" s="11"/>
      <c r="X448" s="11"/>
      <c r="Y448" s="11"/>
      <c r="Z448" s="11"/>
    </row>
    <row r="449">
      <c r="A449" s="18"/>
      <c r="B449" s="11"/>
      <c r="C449" s="11"/>
      <c r="D449" s="11"/>
      <c r="E449" s="11"/>
      <c r="F449" s="11"/>
      <c r="G449" s="11"/>
      <c r="H449" s="11"/>
      <c r="I449" s="11"/>
      <c r="J449" s="11"/>
      <c r="K449" s="11"/>
      <c r="L449" s="15"/>
      <c r="M449" s="15"/>
      <c r="N449" s="15"/>
      <c r="O449" s="15"/>
      <c r="P449" s="15"/>
      <c r="Q449" s="11"/>
      <c r="R449" s="11"/>
      <c r="S449" s="11"/>
      <c r="T449" s="11"/>
      <c r="U449" s="15"/>
      <c r="V449" s="11"/>
      <c r="W449" s="11"/>
      <c r="X449" s="11"/>
      <c r="Y449" s="11"/>
      <c r="Z449" s="11"/>
    </row>
    <row r="450">
      <c r="A450" s="18"/>
      <c r="B450" s="11"/>
      <c r="C450" s="11"/>
      <c r="D450" s="11"/>
      <c r="E450" s="11"/>
      <c r="F450" s="11"/>
      <c r="G450" s="11"/>
      <c r="H450" s="11"/>
      <c r="I450" s="11"/>
      <c r="J450" s="11"/>
      <c r="K450" s="11"/>
      <c r="L450" s="15"/>
      <c r="M450" s="15"/>
      <c r="N450" s="15"/>
      <c r="O450" s="15"/>
      <c r="P450" s="15"/>
      <c r="Q450" s="11"/>
      <c r="R450" s="11"/>
      <c r="S450" s="11"/>
      <c r="T450" s="11"/>
      <c r="U450" s="15"/>
      <c r="V450" s="11"/>
      <c r="W450" s="11"/>
      <c r="X450" s="11"/>
      <c r="Y450" s="11"/>
      <c r="Z450" s="11"/>
    </row>
    <row r="451">
      <c r="A451" s="18"/>
      <c r="B451" s="11"/>
      <c r="C451" s="11"/>
      <c r="D451" s="11"/>
      <c r="E451" s="11"/>
      <c r="F451" s="11"/>
      <c r="G451" s="11"/>
      <c r="H451" s="11"/>
      <c r="I451" s="11"/>
      <c r="J451" s="11"/>
      <c r="K451" s="11"/>
      <c r="L451" s="15"/>
      <c r="M451" s="15"/>
      <c r="N451" s="15"/>
      <c r="O451" s="15"/>
      <c r="P451" s="15"/>
      <c r="Q451" s="11"/>
      <c r="R451" s="11"/>
      <c r="S451" s="11"/>
      <c r="T451" s="11"/>
      <c r="U451" s="15"/>
      <c r="V451" s="11"/>
      <c r="W451" s="11"/>
      <c r="X451" s="11"/>
      <c r="Y451" s="11"/>
      <c r="Z451" s="11"/>
    </row>
    <row r="452">
      <c r="A452" s="18"/>
      <c r="B452" s="11"/>
      <c r="C452" s="11"/>
      <c r="D452" s="11"/>
      <c r="E452" s="11"/>
      <c r="F452" s="11"/>
      <c r="G452" s="11"/>
      <c r="H452" s="11"/>
      <c r="I452" s="11"/>
      <c r="J452" s="11"/>
      <c r="K452" s="11"/>
      <c r="L452" s="15"/>
      <c r="M452" s="15"/>
      <c r="N452" s="15"/>
      <c r="O452" s="15"/>
      <c r="P452" s="15"/>
      <c r="Q452" s="11"/>
      <c r="R452" s="11"/>
      <c r="S452" s="11"/>
      <c r="T452" s="11"/>
      <c r="U452" s="15"/>
      <c r="V452" s="11"/>
      <c r="W452" s="11"/>
      <c r="X452" s="11"/>
      <c r="Y452" s="11"/>
      <c r="Z452" s="11"/>
    </row>
    <row r="453">
      <c r="A453" s="18"/>
      <c r="B453" s="11"/>
      <c r="C453" s="11"/>
      <c r="D453" s="11"/>
      <c r="E453" s="11"/>
      <c r="F453" s="11"/>
      <c r="G453" s="11"/>
      <c r="H453" s="11"/>
      <c r="I453" s="11"/>
      <c r="J453" s="11"/>
      <c r="K453" s="11"/>
      <c r="L453" s="15"/>
      <c r="M453" s="15"/>
      <c r="N453" s="15"/>
      <c r="O453" s="15"/>
      <c r="P453" s="15"/>
      <c r="Q453" s="11"/>
      <c r="R453" s="11"/>
      <c r="S453" s="11"/>
      <c r="T453" s="11"/>
      <c r="U453" s="15"/>
      <c r="V453" s="11"/>
      <c r="W453" s="11"/>
      <c r="X453" s="11"/>
      <c r="Y453" s="11"/>
      <c r="Z453" s="11"/>
    </row>
    <row r="454">
      <c r="A454" s="18"/>
      <c r="B454" s="11"/>
      <c r="C454" s="11"/>
      <c r="D454" s="11"/>
      <c r="E454" s="11"/>
      <c r="F454" s="11"/>
      <c r="G454" s="11"/>
      <c r="H454" s="11"/>
      <c r="I454" s="11"/>
      <c r="J454" s="11"/>
      <c r="K454" s="11"/>
      <c r="L454" s="15"/>
      <c r="M454" s="15"/>
      <c r="N454" s="15"/>
      <c r="O454" s="15"/>
      <c r="P454" s="15"/>
      <c r="Q454" s="11"/>
      <c r="R454" s="11"/>
      <c r="S454" s="11"/>
      <c r="T454" s="11"/>
      <c r="U454" s="15"/>
      <c r="V454" s="11"/>
      <c r="W454" s="11"/>
      <c r="X454" s="11"/>
      <c r="Y454" s="11"/>
      <c r="Z454" s="11"/>
    </row>
    <row r="455">
      <c r="A455" s="18"/>
      <c r="B455" s="11"/>
      <c r="C455" s="11"/>
      <c r="D455" s="11"/>
      <c r="E455" s="11"/>
      <c r="F455" s="11"/>
      <c r="G455" s="11"/>
      <c r="H455" s="11"/>
      <c r="I455" s="11"/>
      <c r="J455" s="11"/>
      <c r="K455" s="11"/>
      <c r="L455" s="15"/>
      <c r="M455" s="15"/>
      <c r="N455" s="15"/>
      <c r="O455" s="15"/>
      <c r="P455" s="15"/>
      <c r="Q455" s="11"/>
      <c r="R455" s="11"/>
      <c r="S455" s="11"/>
      <c r="T455" s="11"/>
      <c r="U455" s="15"/>
      <c r="V455" s="11"/>
      <c r="W455" s="11"/>
      <c r="X455" s="11"/>
      <c r="Y455" s="11"/>
      <c r="Z455" s="11"/>
    </row>
    <row r="456">
      <c r="A456" s="18"/>
      <c r="B456" s="11"/>
      <c r="C456" s="11"/>
      <c r="D456" s="11"/>
      <c r="E456" s="11"/>
      <c r="F456" s="11"/>
      <c r="G456" s="11"/>
      <c r="H456" s="11"/>
      <c r="I456" s="11"/>
      <c r="J456" s="11"/>
      <c r="K456" s="11"/>
      <c r="L456" s="15"/>
      <c r="M456" s="15"/>
      <c r="N456" s="15"/>
      <c r="O456" s="15"/>
      <c r="P456" s="15"/>
      <c r="Q456" s="11"/>
      <c r="R456" s="11"/>
      <c r="S456" s="11"/>
      <c r="T456" s="11"/>
      <c r="U456" s="15"/>
      <c r="V456" s="11"/>
      <c r="W456" s="11"/>
      <c r="X456" s="11"/>
      <c r="Y456" s="11"/>
      <c r="Z456" s="11"/>
    </row>
    <row r="457">
      <c r="A457" s="18"/>
      <c r="B457" s="11"/>
      <c r="C457" s="11"/>
      <c r="D457" s="11"/>
      <c r="E457" s="11"/>
      <c r="F457" s="11"/>
      <c r="G457" s="11"/>
      <c r="H457" s="11"/>
      <c r="I457" s="11"/>
      <c r="J457" s="11"/>
      <c r="K457" s="11"/>
      <c r="L457" s="15"/>
      <c r="M457" s="15"/>
      <c r="N457" s="15"/>
      <c r="O457" s="15"/>
      <c r="P457" s="15"/>
      <c r="Q457" s="11"/>
      <c r="R457" s="11"/>
      <c r="S457" s="11"/>
      <c r="T457" s="11"/>
      <c r="U457" s="15"/>
      <c r="V457" s="11"/>
      <c r="W457" s="11"/>
      <c r="X457" s="11"/>
      <c r="Y457" s="11"/>
      <c r="Z457" s="11"/>
    </row>
    <row r="458">
      <c r="A458" s="18"/>
      <c r="B458" s="11"/>
      <c r="C458" s="11"/>
      <c r="D458" s="11"/>
      <c r="E458" s="11"/>
      <c r="F458" s="11"/>
      <c r="G458" s="11"/>
      <c r="H458" s="11"/>
      <c r="I458" s="11"/>
      <c r="J458" s="11"/>
      <c r="K458" s="11"/>
      <c r="L458" s="15"/>
      <c r="M458" s="15"/>
      <c r="N458" s="15"/>
      <c r="O458" s="15"/>
      <c r="P458" s="15"/>
      <c r="Q458" s="11"/>
      <c r="R458" s="11"/>
      <c r="S458" s="11"/>
      <c r="T458" s="11"/>
      <c r="U458" s="15"/>
      <c r="V458" s="11"/>
      <c r="W458" s="11"/>
      <c r="X458" s="11"/>
      <c r="Y458" s="11"/>
      <c r="Z458" s="11"/>
    </row>
    <row r="459">
      <c r="A459" s="18"/>
      <c r="B459" s="11"/>
      <c r="C459" s="11"/>
      <c r="D459" s="11"/>
      <c r="E459" s="11"/>
      <c r="F459" s="11"/>
      <c r="G459" s="11"/>
      <c r="H459" s="11"/>
      <c r="I459" s="11"/>
      <c r="J459" s="11"/>
      <c r="K459" s="11"/>
      <c r="L459" s="15"/>
      <c r="M459" s="15"/>
      <c r="N459" s="15"/>
      <c r="O459" s="15"/>
      <c r="P459" s="15"/>
      <c r="Q459" s="11"/>
      <c r="R459" s="11"/>
      <c r="S459" s="11"/>
      <c r="T459" s="11"/>
      <c r="U459" s="15"/>
      <c r="V459" s="11"/>
      <c r="W459" s="11"/>
      <c r="X459" s="11"/>
      <c r="Y459" s="11"/>
      <c r="Z459" s="11"/>
    </row>
    <row r="460">
      <c r="A460" s="18"/>
      <c r="B460" s="11"/>
      <c r="C460" s="11"/>
      <c r="D460" s="11"/>
      <c r="E460" s="11"/>
      <c r="F460" s="11"/>
      <c r="G460" s="11"/>
      <c r="H460" s="11"/>
      <c r="I460" s="11"/>
      <c r="J460" s="11"/>
      <c r="K460" s="11"/>
      <c r="L460" s="15"/>
      <c r="M460" s="15"/>
      <c r="N460" s="15"/>
      <c r="O460" s="15"/>
      <c r="P460" s="15"/>
      <c r="Q460" s="11"/>
      <c r="R460" s="11"/>
      <c r="S460" s="11"/>
      <c r="T460" s="11"/>
      <c r="U460" s="15"/>
      <c r="V460" s="11"/>
      <c r="W460" s="11"/>
      <c r="X460" s="11"/>
      <c r="Y460" s="11"/>
      <c r="Z460" s="11"/>
    </row>
    <row r="461">
      <c r="A461" s="18"/>
      <c r="B461" s="11"/>
      <c r="C461" s="11"/>
      <c r="D461" s="11"/>
      <c r="E461" s="11"/>
      <c r="F461" s="11"/>
      <c r="G461" s="11"/>
      <c r="H461" s="11"/>
      <c r="I461" s="11"/>
      <c r="J461" s="11"/>
      <c r="K461" s="11"/>
      <c r="L461" s="15"/>
      <c r="M461" s="15"/>
      <c r="N461" s="15"/>
      <c r="O461" s="15"/>
      <c r="P461" s="15"/>
      <c r="Q461" s="11"/>
      <c r="R461" s="11"/>
      <c r="S461" s="11"/>
      <c r="T461" s="11"/>
      <c r="U461" s="15"/>
      <c r="V461" s="11"/>
      <c r="W461" s="11"/>
      <c r="X461" s="11"/>
      <c r="Y461" s="11"/>
      <c r="Z461" s="11"/>
    </row>
    <row r="462">
      <c r="A462" s="18"/>
      <c r="B462" s="11"/>
      <c r="C462" s="11"/>
      <c r="D462" s="11"/>
      <c r="E462" s="11"/>
      <c r="F462" s="11"/>
      <c r="G462" s="11"/>
      <c r="H462" s="11"/>
      <c r="I462" s="11"/>
      <c r="J462" s="11"/>
      <c r="K462" s="11"/>
      <c r="L462" s="15"/>
      <c r="M462" s="15"/>
      <c r="N462" s="15"/>
      <c r="O462" s="15"/>
      <c r="P462" s="15"/>
      <c r="Q462" s="11"/>
      <c r="R462" s="11"/>
      <c r="S462" s="11"/>
      <c r="T462" s="11"/>
      <c r="U462" s="15"/>
      <c r="V462" s="11"/>
      <c r="W462" s="11"/>
      <c r="X462" s="11"/>
      <c r="Y462" s="11"/>
      <c r="Z462" s="11"/>
    </row>
    <row r="463">
      <c r="A463" s="18"/>
      <c r="B463" s="11"/>
      <c r="C463" s="11"/>
      <c r="D463" s="11"/>
      <c r="E463" s="11"/>
      <c r="F463" s="11"/>
      <c r="G463" s="11"/>
      <c r="H463" s="11"/>
      <c r="I463" s="11"/>
      <c r="J463" s="11"/>
      <c r="K463" s="11"/>
      <c r="L463" s="15"/>
      <c r="M463" s="15"/>
      <c r="N463" s="15"/>
      <c r="O463" s="15"/>
      <c r="P463" s="15"/>
      <c r="Q463" s="11"/>
      <c r="R463" s="11"/>
      <c r="S463" s="11"/>
      <c r="T463" s="11"/>
      <c r="U463" s="15"/>
      <c r="V463" s="11"/>
      <c r="W463" s="11"/>
      <c r="X463" s="11"/>
      <c r="Y463" s="11"/>
      <c r="Z463" s="11"/>
    </row>
    <row r="464">
      <c r="A464" s="18"/>
      <c r="B464" s="11"/>
      <c r="C464" s="11"/>
      <c r="D464" s="11"/>
      <c r="E464" s="11"/>
      <c r="F464" s="11"/>
      <c r="G464" s="11"/>
      <c r="H464" s="11"/>
      <c r="I464" s="11"/>
      <c r="J464" s="11"/>
      <c r="K464" s="11"/>
      <c r="L464" s="15"/>
      <c r="M464" s="15"/>
      <c r="N464" s="15"/>
      <c r="O464" s="15"/>
      <c r="P464" s="15"/>
      <c r="Q464" s="11"/>
      <c r="R464" s="11"/>
      <c r="S464" s="11"/>
      <c r="T464" s="11"/>
      <c r="U464" s="15"/>
      <c r="V464" s="11"/>
      <c r="W464" s="11"/>
      <c r="X464" s="11"/>
      <c r="Y464" s="11"/>
      <c r="Z464" s="11"/>
    </row>
    <row r="465">
      <c r="A465" s="18"/>
      <c r="B465" s="11"/>
      <c r="C465" s="11"/>
      <c r="D465" s="11"/>
      <c r="E465" s="11"/>
      <c r="F465" s="11"/>
      <c r="G465" s="11"/>
      <c r="H465" s="11"/>
      <c r="I465" s="11"/>
      <c r="J465" s="11"/>
      <c r="K465" s="11"/>
      <c r="L465" s="15"/>
      <c r="M465" s="15"/>
      <c r="N465" s="15"/>
      <c r="O465" s="15"/>
      <c r="P465" s="15"/>
      <c r="Q465" s="11"/>
      <c r="R465" s="11"/>
      <c r="S465" s="11"/>
      <c r="T465" s="11"/>
      <c r="U465" s="15"/>
      <c r="V465" s="11"/>
      <c r="W465" s="11"/>
      <c r="X465" s="11"/>
      <c r="Y465" s="11"/>
      <c r="Z465" s="11"/>
    </row>
    <row r="466">
      <c r="A466" s="18"/>
      <c r="B466" s="11"/>
      <c r="C466" s="11"/>
      <c r="D466" s="11"/>
      <c r="E466" s="11"/>
      <c r="F466" s="11"/>
      <c r="G466" s="11"/>
      <c r="H466" s="11"/>
      <c r="I466" s="11"/>
      <c r="J466" s="11"/>
      <c r="K466" s="11"/>
      <c r="L466" s="15"/>
      <c r="M466" s="15"/>
      <c r="N466" s="15"/>
      <c r="O466" s="15"/>
      <c r="P466" s="15"/>
      <c r="Q466" s="11"/>
      <c r="R466" s="11"/>
      <c r="S466" s="11"/>
      <c r="T466" s="11"/>
      <c r="U466" s="15"/>
      <c r="V466" s="11"/>
      <c r="W466" s="11"/>
      <c r="X466" s="11"/>
      <c r="Y466" s="11"/>
      <c r="Z466" s="11"/>
    </row>
    <row r="467">
      <c r="A467" s="18"/>
      <c r="B467" s="11"/>
      <c r="C467" s="11"/>
      <c r="D467" s="11"/>
      <c r="E467" s="11"/>
      <c r="F467" s="11"/>
      <c r="G467" s="11"/>
      <c r="H467" s="11"/>
      <c r="I467" s="11"/>
      <c r="J467" s="11"/>
      <c r="K467" s="11"/>
      <c r="L467" s="15"/>
      <c r="M467" s="15"/>
      <c r="N467" s="15"/>
      <c r="O467" s="15"/>
      <c r="P467" s="15"/>
      <c r="Q467" s="11"/>
      <c r="R467" s="11"/>
      <c r="S467" s="11"/>
      <c r="T467" s="11"/>
      <c r="U467" s="15"/>
      <c r="V467" s="11"/>
      <c r="W467" s="11"/>
      <c r="X467" s="11"/>
      <c r="Y467" s="11"/>
      <c r="Z467" s="11"/>
    </row>
    <row r="468">
      <c r="A468" s="18"/>
      <c r="B468" s="11"/>
      <c r="C468" s="11"/>
      <c r="D468" s="11"/>
      <c r="E468" s="11"/>
      <c r="F468" s="11"/>
      <c r="G468" s="11"/>
      <c r="H468" s="11"/>
      <c r="I468" s="11"/>
      <c r="J468" s="11"/>
      <c r="K468" s="11"/>
      <c r="L468" s="15"/>
      <c r="M468" s="15"/>
      <c r="N468" s="15"/>
      <c r="O468" s="15"/>
      <c r="P468" s="15"/>
      <c r="Q468" s="11"/>
      <c r="R468" s="11"/>
      <c r="S468" s="11"/>
      <c r="T468" s="11"/>
      <c r="U468" s="15"/>
      <c r="V468" s="11"/>
      <c r="W468" s="11"/>
      <c r="X468" s="11"/>
      <c r="Y468" s="11"/>
      <c r="Z468" s="11"/>
    </row>
    <row r="469">
      <c r="A469" s="18"/>
      <c r="B469" s="11"/>
      <c r="C469" s="11"/>
      <c r="D469" s="11"/>
      <c r="E469" s="11"/>
      <c r="F469" s="11"/>
      <c r="G469" s="11"/>
      <c r="H469" s="11"/>
      <c r="I469" s="11"/>
      <c r="J469" s="11"/>
      <c r="K469" s="11"/>
      <c r="L469" s="15"/>
      <c r="M469" s="15"/>
      <c r="N469" s="15"/>
      <c r="O469" s="15"/>
      <c r="P469" s="15"/>
      <c r="Q469" s="11"/>
      <c r="R469" s="11"/>
      <c r="S469" s="11"/>
      <c r="T469" s="11"/>
      <c r="U469" s="15"/>
      <c r="V469" s="11"/>
      <c r="W469" s="11"/>
      <c r="X469" s="11"/>
      <c r="Y469" s="11"/>
      <c r="Z469" s="11"/>
    </row>
    <row r="470">
      <c r="A470" s="18"/>
      <c r="B470" s="11"/>
      <c r="C470" s="11"/>
      <c r="D470" s="11"/>
      <c r="E470" s="11"/>
      <c r="F470" s="11"/>
      <c r="G470" s="11"/>
      <c r="H470" s="11"/>
      <c r="I470" s="11"/>
      <c r="J470" s="11"/>
      <c r="K470" s="11"/>
      <c r="L470" s="15"/>
      <c r="M470" s="15"/>
      <c r="N470" s="15"/>
      <c r="O470" s="15"/>
      <c r="P470" s="15"/>
      <c r="Q470" s="11"/>
      <c r="R470" s="11"/>
      <c r="S470" s="11"/>
      <c r="T470" s="11"/>
      <c r="U470" s="15"/>
      <c r="V470" s="11"/>
      <c r="W470" s="11"/>
      <c r="X470" s="11"/>
      <c r="Y470" s="11"/>
      <c r="Z470" s="11"/>
    </row>
    <row r="471">
      <c r="A471" s="18"/>
      <c r="B471" s="11"/>
      <c r="C471" s="11"/>
      <c r="D471" s="11"/>
      <c r="E471" s="11"/>
      <c r="F471" s="11"/>
      <c r="G471" s="11"/>
      <c r="H471" s="11"/>
      <c r="I471" s="11"/>
      <c r="J471" s="11"/>
      <c r="K471" s="11"/>
      <c r="L471" s="15"/>
      <c r="M471" s="15"/>
      <c r="N471" s="15"/>
      <c r="O471" s="15"/>
      <c r="P471" s="15"/>
      <c r="Q471" s="11"/>
      <c r="R471" s="11"/>
      <c r="S471" s="11"/>
      <c r="T471" s="11"/>
      <c r="U471" s="15"/>
      <c r="V471" s="11"/>
      <c r="W471" s="11"/>
      <c r="X471" s="11"/>
      <c r="Y471" s="11"/>
      <c r="Z471" s="11"/>
    </row>
    <row r="472">
      <c r="A472" s="18"/>
      <c r="B472" s="11"/>
      <c r="C472" s="11"/>
      <c r="D472" s="11"/>
      <c r="E472" s="11"/>
      <c r="F472" s="11"/>
      <c r="G472" s="11"/>
      <c r="H472" s="11"/>
      <c r="I472" s="11"/>
      <c r="J472" s="11"/>
      <c r="K472" s="11"/>
      <c r="L472" s="15"/>
      <c r="M472" s="15"/>
      <c r="N472" s="15"/>
      <c r="O472" s="15"/>
      <c r="P472" s="15"/>
      <c r="Q472" s="11"/>
      <c r="R472" s="11"/>
      <c r="S472" s="11"/>
      <c r="T472" s="11"/>
      <c r="U472" s="15"/>
      <c r="V472" s="11"/>
      <c r="W472" s="11"/>
      <c r="X472" s="11"/>
      <c r="Y472" s="11"/>
      <c r="Z472" s="11"/>
    </row>
    <row r="473">
      <c r="A473" s="18"/>
      <c r="B473" s="11"/>
      <c r="C473" s="11"/>
      <c r="D473" s="11"/>
      <c r="E473" s="11"/>
      <c r="F473" s="11"/>
      <c r="G473" s="11"/>
      <c r="H473" s="11"/>
      <c r="I473" s="11"/>
      <c r="J473" s="11"/>
      <c r="K473" s="11"/>
      <c r="L473" s="15"/>
      <c r="M473" s="15"/>
      <c r="N473" s="15"/>
      <c r="O473" s="15"/>
      <c r="P473" s="15"/>
      <c r="Q473" s="11"/>
      <c r="R473" s="11"/>
      <c r="S473" s="11"/>
      <c r="T473" s="11"/>
      <c r="U473" s="15"/>
      <c r="V473" s="11"/>
      <c r="W473" s="11"/>
      <c r="X473" s="11"/>
      <c r="Y473" s="11"/>
      <c r="Z473" s="11"/>
    </row>
    <row r="474">
      <c r="A474" s="18"/>
      <c r="B474" s="11"/>
      <c r="C474" s="11"/>
      <c r="D474" s="11"/>
      <c r="E474" s="11"/>
      <c r="F474" s="11"/>
      <c r="G474" s="11"/>
      <c r="H474" s="11"/>
      <c r="I474" s="11"/>
      <c r="J474" s="11"/>
      <c r="K474" s="11"/>
      <c r="L474" s="15"/>
      <c r="M474" s="15"/>
      <c r="N474" s="15"/>
      <c r="O474" s="15"/>
      <c r="P474" s="15"/>
      <c r="Q474" s="11"/>
      <c r="R474" s="11"/>
      <c r="S474" s="11"/>
      <c r="T474" s="11"/>
      <c r="U474" s="15"/>
      <c r="V474" s="11"/>
      <c r="W474" s="11"/>
      <c r="X474" s="11"/>
      <c r="Y474" s="11"/>
      <c r="Z474" s="11"/>
    </row>
    <row r="475">
      <c r="A475" s="18"/>
      <c r="B475" s="11"/>
      <c r="C475" s="11"/>
      <c r="D475" s="11"/>
      <c r="E475" s="11"/>
      <c r="F475" s="11"/>
      <c r="G475" s="11"/>
      <c r="H475" s="11"/>
      <c r="I475" s="11"/>
      <c r="J475" s="11"/>
      <c r="K475" s="11"/>
      <c r="L475" s="15"/>
      <c r="M475" s="15"/>
      <c r="N475" s="15"/>
      <c r="O475" s="15"/>
      <c r="P475" s="15"/>
      <c r="Q475" s="11"/>
      <c r="R475" s="11"/>
      <c r="S475" s="11"/>
      <c r="T475" s="11"/>
      <c r="U475" s="15"/>
      <c r="V475" s="11"/>
      <c r="W475" s="11"/>
      <c r="X475" s="11"/>
      <c r="Y475" s="11"/>
      <c r="Z475" s="11"/>
    </row>
    <row r="476">
      <c r="A476" s="18"/>
      <c r="B476" s="11"/>
      <c r="C476" s="11"/>
      <c r="D476" s="11"/>
      <c r="E476" s="11"/>
      <c r="F476" s="11"/>
      <c r="G476" s="11"/>
      <c r="H476" s="11"/>
      <c r="I476" s="11"/>
      <c r="J476" s="11"/>
      <c r="K476" s="11"/>
      <c r="L476" s="15"/>
      <c r="M476" s="15"/>
      <c r="N476" s="15"/>
      <c r="O476" s="15"/>
      <c r="P476" s="15"/>
      <c r="Q476" s="11"/>
      <c r="R476" s="11"/>
      <c r="S476" s="11"/>
      <c r="T476" s="11"/>
      <c r="U476" s="15"/>
      <c r="V476" s="11"/>
      <c r="W476" s="11"/>
      <c r="X476" s="11"/>
      <c r="Y476" s="11"/>
      <c r="Z476" s="11"/>
    </row>
    <row r="477">
      <c r="A477" s="18"/>
      <c r="B477" s="11"/>
      <c r="C477" s="11"/>
      <c r="D477" s="11"/>
      <c r="E477" s="11"/>
      <c r="F477" s="11"/>
      <c r="G477" s="11"/>
      <c r="H477" s="11"/>
      <c r="I477" s="11"/>
      <c r="J477" s="11"/>
      <c r="K477" s="11"/>
      <c r="L477" s="15"/>
      <c r="M477" s="15"/>
      <c r="N477" s="15"/>
      <c r="O477" s="15"/>
      <c r="P477" s="15"/>
      <c r="Q477" s="11"/>
      <c r="R477" s="11"/>
      <c r="S477" s="11"/>
      <c r="T477" s="11"/>
      <c r="U477" s="15"/>
      <c r="V477" s="11"/>
      <c r="W477" s="11"/>
      <c r="X477" s="11"/>
      <c r="Y477" s="11"/>
      <c r="Z477" s="11"/>
    </row>
    <row r="478">
      <c r="A478" s="18"/>
      <c r="B478" s="11"/>
      <c r="C478" s="11"/>
      <c r="D478" s="11"/>
      <c r="E478" s="11"/>
      <c r="F478" s="11"/>
      <c r="G478" s="11"/>
      <c r="H478" s="11"/>
      <c r="I478" s="11"/>
      <c r="J478" s="11"/>
      <c r="K478" s="11"/>
      <c r="L478" s="15"/>
      <c r="M478" s="15"/>
      <c r="N478" s="15"/>
      <c r="O478" s="15"/>
      <c r="P478" s="15"/>
      <c r="Q478" s="11"/>
      <c r="R478" s="11"/>
      <c r="S478" s="11"/>
      <c r="T478" s="11"/>
      <c r="U478" s="15"/>
      <c r="V478" s="11"/>
      <c r="W478" s="11"/>
      <c r="X478" s="11"/>
      <c r="Y478" s="11"/>
      <c r="Z478" s="11"/>
    </row>
    <row r="479">
      <c r="A479" s="18"/>
      <c r="B479" s="11"/>
      <c r="C479" s="11"/>
      <c r="D479" s="11"/>
      <c r="E479" s="11"/>
      <c r="F479" s="11"/>
      <c r="G479" s="11"/>
      <c r="H479" s="11"/>
      <c r="I479" s="11"/>
      <c r="J479" s="11"/>
      <c r="K479" s="11"/>
      <c r="L479" s="15"/>
      <c r="M479" s="15"/>
      <c r="N479" s="15"/>
      <c r="O479" s="15"/>
      <c r="P479" s="15"/>
      <c r="Q479" s="11"/>
      <c r="R479" s="11"/>
      <c r="S479" s="11"/>
      <c r="T479" s="11"/>
      <c r="U479" s="15"/>
      <c r="V479" s="11"/>
      <c r="W479" s="11"/>
      <c r="X479" s="11"/>
      <c r="Y479" s="11"/>
      <c r="Z479" s="11"/>
    </row>
    <row r="480">
      <c r="A480" s="18"/>
      <c r="B480" s="11"/>
      <c r="C480" s="11"/>
      <c r="D480" s="11"/>
      <c r="E480" s="11"/>
      <c r="F480" s="11"/>
      <c r="G480" s="11"/>
      <c r="H480" s="11"/>
      <c r="I480" s="11"/>
      <c r="J480" s="11"/>
      <c r="K480" s="11"/>
      <c r="L480" s="15"/>
      <c r="M480" s="15"/>
      <c r="N480" s="15"/>
      <c r="O480" s="15"/>
      <c r="P480" s="15"/>
      <c r="Q480" s="11"/>
      <c r="R480" s="11"/>
      <c r="S480" s="11"/>
      <c r="T480" s="11"/>
      <c r="U480" s="15"/>
      <c r="V480" s="11"/>
      <c r="W480" s="11"/>
      <c r="X480" s="11"/>
      <c r="Y480" s="11"/>
      <c r="Z480" s="11"/>
    </row>
    <row r="481">
      <c r="A481" s="18"/>
      <c r="B481" s="11"/>
      <c r="C481" s="11"/>
      <c r="D481" s="11"/>
      <c r="E481" s="11"/>
      <c r="F481" s="11"/>
      <c r="G481" s="11"/>
      <c r="H481" s="11"/>
      <c r="I481" s="11"/>
      <c r="J481" s="11"/>
      <c r="K481" s="11"/>
      <c r="L481" s="15"/>
      <c r="M481" s="15"/>
      <c r="N481" s="15"/>
      <c r="O481" s="15"/>
      <c r="P481" s="15"/>
      <c r="Q481" s="11"/>
      <c r="R481" s="11"/>
      <c r="S481" s="11"/>
      <c r="T481" s="11"/>
      <c r="U481" s="15"/>
      <c r="V481" s="11"/>
      <c r="W481" s="11"/>
      <c r="X481" s="11"/>
      <c r="Y481" s="11"/>
      <c r="Z481" s="11"/>
    </row>
    <row r="482">
      <c r="A482" s="18"/>
      <c r="B482" s="11"/>
      <c r="C482" s="11"/>
      <c r="D482" s="11"/>
      <c r="E482" s="11"/>
      <c r="F482" s="11"/>
      <c r="G482" s="11"/>
      <c r="H482" s="11"/>
      <c r="I482" s="11"/>
      <c r="J482" s="11"/>
      <c r="K482" s="11"/>
      <c r="L482" s="15"/>
      <c r="M482" s="15"/>
      <c r="N482" s="15"/>
      <c r="O482" s="15"/>
      <c r="P482" s="15"/>
      <c r="Q482" s="11"/>
      <c r="R482" s="11"/>
      <c r="S482" s="11"/>
      <c r="T482" s="11"/>
      <c r="U482" s="15"/>
      <c r="V482" s="11"/>
      <c r="W482" s="11"/>
      <c r="X482" s="11"/>
      <c r="Y482" s="11"/>
      <c r="Z482" s="11"/>
    </row>
    <row r="483">
      <c r="A483" s="18"/>
      <c r="B483" s="11"/>
      <c r="C483" s="11"/>
      <c r="D483" s="11"/>
      <c r="E483" s="11"/>
      <c r="F483" s="11"/>
      <c r="G483" s="11"/>
      <c r="H483" s="11"/>
      <c r="I483" s="11"/>
      <c r="J483" s="11"/>
      <c r="K483" s="11"/>
      <c r="L483" s="15"/>
      <c r="M483" s="15"/>
      <c r="N483" s="15"/>
      <c r="O483" s="15"/>
      <c r="P483" s="15"/>
      <c r="Q483" s="11"/>
      <c r="R483" s="11"/>
      <c r="S483" s="11"/>
      <c r="T483" s="11"/>
      <c r="U483" s="15"/>
      <c r="V483" s="11"/>
      <c r="W483" s="11"/>
      <c r="X483" s="11"/>
      <c r="Y483" s="11"/>
      <c r="Z483" s="11"/>
    </row>
    <row r="484">
      <c r="A484" s="18"/>
      <c r="B484" s="11"/>
      <c r="C484" s="11"/>
      <c r="D484" s="11"/>
      <c r="E484" s="11"/>
      <c r="F484" s="11"/>
      <c r="G484" s="11"/>
      <c r="H484" s="11"/>
      <c r="I484" s="11"/>
      <c r="J484" s="11"/>
      <c r="K484" s="11"/>
      <c r="L484" s="15"/>
      <c r="M484" s="15"/>
      <c r="N484" s="15"/>
      <c r="O484" s="15"/>
      <c r="P484" s="15"/>
      <c r="Q484" s="11"/>
      <c r="R484" s="11"/>
      <c r="S484" s="11"/>
      <c r="T484" s="11"/>
      <c r="U484" s="15"/>
      <c r="V484" s="11"/>
      <c r="W484" s="11"/>
      <c r="X484" s="11"/>
      <c r="Y484" s="11"/>
      <c r="Z484" s="11"/>
    </row>
    <row r="485">
      <c r="A485" s="18"/>
      <c r="B485" s="11"/>
      <c r="C485" s="11"/>
      <c r="D485" s="11"/>
      <c r="E485" s="11"/>
      <c r="F485" s="11"/>
      <c r="G485" s="11"/>
      <c r="H485" s="11"/>
      <c r="I485" s="11"/>
      <c r="J485" s="11"/>
      <c r="K485" s="11"/>
      <c r="L485" s="15"/>
      <c r="M485" s="15"/>
      <c r="N485" s="15"/>
      <c r="O485" s="15"/>
      <c r="P485" s="15"/>
      <c r="Q485" s="11"/>
      <c r="R485" s="11"/>
      <c r="S485" s="11"/>
      <c r="T485" s="11"/>
      <c r="U485" s="15"/>
      <c r="V485" s="11"/>
      <c r="W485" s="11"/>
      <c r="X485" s="11"/>
      <c r="Y485" s="11"/>
      <c r="Z485" s="11"/>
    </row>
    <row r="486">
      <c r="A486" s="18"/>
      <c r="B486" s="11"/>
      <c r="C486" s="11"/>
      <c r="D486" s="11"/>
      <c r="E486" s="11"/>
      <c r="F486" s="11"/>
      <c r="G486" s="11"/>
      <c r="H486" s="11"/>
      <c r="I486" s="11"/>
      <c r="J486" s="11"/>
      <c r="K486" s="11"/>
      <c r="L486" s="15"/>
      <c r="M486" s="15"/>
      <c r="N486" s="15"/>
      <c r="O486" s="15"/>
      <c r="P486" s="15"/>
      <c r="Q486" s="11"/>
      <c r="R486" s="11"/>
      <c r="S486" s="11"/>
      <c r="T486" s="11"/>
      <c r="U486" s="15"/>
      <c r="V486" s="11"/>
      <c r="W486" s="11"/>
      <c r="X486" s="11"/>
      <c r="Y486" s="11"/>
      <c r="Z486" s="11"/>
    </row>
    <row r="487">
      <c r="A487" s="18"/>
      <c r="B487" s="11"/>
      <c r="C487" s="11"/>
      <c r="D487" s="11"/>
      <c r="E487" s="11"/>
      <c r="F487" s="11"/>
      <c r="G487" s="11"/>
      <c r="H487" s="11"/>
      <c r="I487" s="11"/>
      <c r="J487" s="11"/>
      <c r="K487" s="11"/>
      <c r="L487" s="15"/>
      <c r="M487" s="15"/>
      <c r="N487" s="15"/>
      <c r="O487" s="15"/>
      <c r="P487" s="15"/>
      <c r="Q487" s="11"/>
      <c r="R487" s="11"/>
      <c r="S487" s="11"/>
      <c r="T487" s="11"/>
      <c r="U487" s="15"/>
      <c r="V487" s="11"/>
      <c r="W487" s="11"/>
      <c r="X487" s="11"/>
      <c r="Y487" s="11"/>
      <c r="Z487" s="11"/>
    </row>
    <row r="488">
      <c r="A488" s="18"/>
      <c r="B488" s="11"/>
      <c r="C488" s="11"/>
      <c r="D488" s="11"/>
      <c r="E488" s="11"/>
      <c r="F488" s="11"/>
      <c r="G488" s="11"/>
      <c r="H488" s="11"/>
      <c r="I488" s="11"/>
      <c r="J488" s="11"/>
      <c r="K488" s="11"/>
      <c r="L488" s="15"/>
      <c r="M488" s="15"/>
      <c r="N488" s="15"/>
      <c r="O488" s="15"/>
      <c r="P488" s="15"/>
      <c r="Q488" s="11"/>
      <c r="R488" s="11"/>
      <c r="S488" s="11"/>
      <c r="T488" s="11"/>
      <c r="U488" s="15"/>
      <c r="V488" s="11"/>
      <c r="W488" s="11"/>
      <c r="X488" s="11"/>
      <c r="Y488" s="11"/>
      <c r="Z488" s="11"/>
    </row>
    <row r="489">
      <c r="A489" s="18"/>
      <c r="B489" s="11"/>
      <c r="C489" s="11"/>
      <c r="D489" s="11"/>
      <c r="E489" s="11"/>
      <c r="F489" s="11"/>
      <c r="G489" s="11"/>
      <c r="H489" s="11"/>
      <c r="I489" s="11"/>
      <c r="J489" s="11"/>
      <c r="K489" s="11"/>
      <c r="L489" s="15"/>
      <c r="M489" s="15"/>
      <c r="N489" s="15"/>
      <c r="O489" s="15"/>
      <c r="P489" s="15"/>
      <c r="Q489" s="11"/>
      <c r="R489" s="11"/>
      <c r="S489" s="11"/>
      <c r="T489" s="11"/>
      <c r="U489" s="15"/>
      <c r="V489" s="11"/>
      <c r="W489" s="11"/>
      <c r="X489" s="11"/>
      <c r="Y489" s="11"/>
      <c r="Z489" s="11"/>
    </row>
    <row r="490">
      <c r="A490" s="18"/>
      <c r="B490" s="11"/>
      <c r="C490" s="11"/>
      <c r="D490" s="11"/>
      <c r="E490" s="11"/>
      <c r="F490" s="11"/>
      <c r="G490" s="11"/>
      <c r="H490" s="11"/>
      <c r="I490" s="11"/>
      <c r="J490" s="11"/>
      <c r="K490" s="11"/>
      <c r="L490" s="15"/>
      <c r="M490" s="15"/>
      <c r="N490" s="15"/>
      <c r="O490" s="15"/>
      <c r="P490" s="15"/>
      <c r="Q490" s="11"/>
      <c r="R490" s="11"/>
      <c r="S490" s="11"/>
      <c r="T490" s="11"/>
      <c r="U490" s="15"/>
      <c r="V490" s="11"/>
      <c r="W490" s="11"/>
      <c r="X490" s="11"/>
      <c r="Y490" s="11"/>
      <c r="Z490" s="11"/>
    </row>
    <row r="491">
      <c r="A491" s="18"/>
      <c r="B491" s="11"/>
      <c r="C491" s="11"/>
      <c r="D491" s="11"/>
      <c r="E491" s="11"/>
      <c r="F491" s="11"/>
      <c r="G491" s="11"/>
      <c r="H491" s="11"/>
      <c r="I491" s="11"/>
      <c r="J491" s="11"/>
      <c r="K491" s="11"/>
      <c r="L491" s="15"/>
      <c r="M491" s="15"/>
      <c r="N491" s="15"/>
      <c r="O491" s="15"/>
      <c r="P491" s="15"/>
      <c r="Q491" s="11"/>
      <c r="R491" s="11"/>
      <c r="S491" s="11"/>
      <c r="T491" s="11"/>
      <c r="U491" s="15"/>
      <c r="V491" s="11"/>
      <c r="W491" s="11"/>
      <c r="X491" s="11"/>
      <c r="Y491" s="11"/>
      <c r="Z491" s="11"/>
    </row>
    <row r="492">
      <c r="A492" s="18"/>
      <c r="B492" s="11"/>
      <c r="C492" s="11"/>
      <c r="D492" s="11"/>
      <c r="E492" s="11"/>
      <c r="F492" s="11"/>
      <c r="G492" s="11"/>
      <c r="H492" s="11"/>
      <c r="I492" s="11"/>
      <c r="J492" s="11"/>
      <c r="K492" s="11"/>
      <c r="L492" s="15"/>
      <c r="M492" s="15"/>
      <c r="N492" s="15"/>
      <c r="O492" s="15"/>
      <c r="P492" s="15"/>
      <c r="Q492" s="11"/>
      <c r="R492" s="11"/>
      <c r="S492" s="11"/>
      <c r="T492" s="11"/>
      <c r="U492" s="15"/>
      <c r="V492" s="11"/>
      <c r="W492" s="11"/>
      <c r="X492" s="11"/>
      <c r="Y492" s="11"/>
      <c r="Z492" s="11"/>
    </row>
    <row r="493">
      <c r="A493" s="18"/>
      <c r="B493" s="11"/>
      <c r="C493" s="11"/>
      <c r="D493" s="11"/>
      <c r="E493" s="11"/>
      <c r="F493" s="11"/>
      <c r="G493" s="11"/>
      <c r="H493" s="11"/>
      <c r="I493" s="11"/>
      <c r="J493" s="11"/>
      <c r="K493" s="11"/>
      <c r="L493" s="15"/>
      <c r="M493" s="15"/>
      <c r="N493" s="15"/>
      <c r="O493" s="15"/>
      <c r="P493" s="15"/>
      <c r="Q493" s="11"/>
      <c r="R493" s="11"/>
      <c r="S493" s="11"/>
      <c r="T493" s="11"/>
      <c r="U493" s="15"/>
      <c r="V493" s="11"/>
      <c r="W493" s="11"/>
      <c r="X493" s="11"/>
      <c r="Y493" s="11"/>
      <c r="Z493" s="11"/>
    </row>
    <row r="494">
      <c r="A494" s="18"/>
      <c r="B494" s="11"/>
      <c r="C494" s="11"/>
      <c r="D494" s="11"/>
      <c r="E494" s="11"/>
      <c r="F494" s="11"/>
      <c r="G494" s="11"/>
      <c r="H494" s="11"/>
      <c r="I494" s="11"/>
      <c r="J494" s="11"/>
      <c r="K494" s="11"/>
      <c r="L494" s="15"/>
      <c r="M494" s="15"/>
      <c r="N494" s="15"/>
      <c r="O494" s="15"/>
      <c r="P494" s="15"/>
      <c r="Q494" s="11"/>
      <c r="R494" s="11"/>
      <c r="S494" s="11"/>
      <c r="T494" s="11"/>
      <c r="U494" s="15"/>
      <c r="V494" s="11"/>
      <c r="W494" s="11"/>
      <c r="X494" s="11"/>
      <c r="Y494" s="11"/>
      <c r="Z494" s="11"/>
    </row>
    <row r="495">
      <c r="A495" s="18"/>
      <c r="B495" s="11"/>
      <c r="C495" s="11"/>
      <c r="D495" s="11"/>
      <c r="E495" s="11"/>
      <c r="F495" s="11"/>
      <c r="G495" s="11"/>
      <c r="H495" s="11"/>
      <c r="I495" s="11"/>
      <c r="J495" s="11"/>
      <c r="K495" s="11"/>
      <c r="L495" s="15"/>
      <c r="M495" s="15"/>
      <c r="N495" s="15"/>
      <c r="O495" s="15"/>
      <c r="P495" s="15"/>
      <c r="Q495" s="11"/>
      <c r="R495" s="11"/>
      <c r="S495" s="11"/>
      <c r="T495" s="11"/>
      <c r="U495" s="15"/>
      <c r="V495" s="11"/>
      <c r="W495" s="11"/>
      <c r="X495" s="11"/>
      <c r="Y495" s="11"/>
      <c r="Z495" s="11"/>
    </row>
    <row r="496">
      <c r="A496" s="18"/>
      <c r="B496" s="11"/>
      <c r="C496" s="11"/>
      <c r="D496" s="11"/>
      <c r="E496" s="11"/>
      <c r="F496" s="11"/>
      <c r="G496" s="11"/>
      <c r="H496" s="11"/>
      <c r="I496" s="11"/>
      <c r="J496" s="11"/>
      <c r="K496" s="11"/>
      <c r="L496" s="15"/>
      <c r="M496" s="15"/>
      <c r="N496" s="15"/>
      <c r="O496" s="15"/>
      <c r="P496" s="15"/>
      <c r="Q496" s="11"/>
      <c r="R496" s="11"/>
      <c r="S496" s="11"/>
      <c r="T496" s="11"/>
      <c r="U496" s="15"/>
      <c r="V496" s="11"/>
      <c r="W496" s="11"/>
      <c r="X496" s="11"/>
      <c r="Y496" s="11"/>
      <c r="Z496" s="11"/>
    </row>
    <row r="497">
      <c r="A497" s="18"/>
      <c r="B497" s="11"/>
      <c r="C497" s="11"/>
      <c r="D497" s="11"/>
      <c r="E497" s="11"/>
      <c r="F497" s="11"/>
      <c r="G497" s="11"/>
      <c r="H497" s="11"/>
      <c r="I497" s="11"/>
      <c r="J497" s="11"/>
      <c r="K497" s="11"/>
      <c r="L497" s="15"/>
      <c r="M497" s="15"/>
      <c r="N497" s="15"/>
      <c r="O497" s="15"/>
      <c r="P497" s="15"/>
      <c r="Q497" s="11"/>
      <c r="R497" s="11"/>
      <c r="S497" s="11"/>
      <c r="T497" s="11"/>
      <c r="U497" s="15"/>
      <c r="V497" s="11"/>
      <c r="W497" s="11"/>
      <c r="X497" s="11"/>
      <c r="Y497" s="11"/>
      <c r="Z497" s="11"/>
    </row>
    <row r="498">
      <c r="A498" s="18"/>
      <c r="B498" s="11"/>
      <c r="C498" s="11"/>
      <c r="D498" s="11"/>
      <c r="E498" s="11"/>
      <c r="F498" s="11"/>
      <c r="G498" s="11"/>
      <c r="H498" s="11"/>
      <c r="I498" s="11"/>
      <c r="J498" s="11"/>
      <c r="K498" s="11"/>
      <c r="L498" s="15"/>
      <c r="M498" s="15"/>
      <c r="N498" s="15"/>
      <c r="O498" s="15"/>
      <c r="P498" s="15"/>
      <c r="Q498" s="11"/>
      <c r="R498" s="11"/>
      <c r="S498" s="11"/>
      <c r="T498" s="11"/>
      <c r="U498" s="15"/>
      <c r="V498" s="11"/>
      <c r="W498" s="11"/>
      <c r="X498" s="11"/>
      <c r="Y498" s="11"/>
      <c r="Z498" s="11"/>
    </row>
    <row r="499">
      <c r="A499" s="18"/>
      <c r="B499" s="11"/>
      <c r="C499" s="11"/>
      <c r="D499" s="11"/>
      <c r="E499" s="11"/>
      <c r="F499" s="11"/>
      <c r="G499" s="11"/>
      <c r="H499" s="11"/>
      <c r="I499" s="11"/>
      <c r="J499" s="11"/>
      <c r="K499" s="11"/>
      <c r="L499" s="15"/>
      <c r="M499" s="15"/>
      <c r="N499" s="15"/>
      <c r="O499" s="15"/>
      <c r="P499" s="15"/>
      <c r="Q499" s="11"/>
      <c r="R499" s="11"/>
      <c r="S499" s="11"/>
      <c r="T499" s="11"/>
      <c r="U499" s="15"/>
      <c r="V499" s="11"/>
      <c r="W499" s="11"/>
      <c r="X499" s="11"/>
      <c r="Y499" s="11"/>
      <c r="Z499" s="11"/>
    </row>
    <row r="500">
      <c r="A500" s="18"/>
      <c r="B500" s="11"/>
      <c r="C500" s="11"/>
      <c r="D500" s="11"/>
      <c r="E500" s="11"/>
      <c r="F500" s="11"/>
      <c r="G500" s="11"/>
      <c r="H500" s="11"/>
      <c r="I500" s="11"/>
      <c r="J500" s="11"/>
      <c r="K500" s="11"/>
      <c r="L500" s="15"/>
      <c r="M500" s="15"/>
      <c r="N500" s="15"/>
      <c r="O500" s="15"/>
      <c r="P500" s="15"/>
      <c r="Q500" s="11"/>
      <c r="R500" s="11"/>
      <c r="S500" s="11"/>
      <c r="T500" s="11"/>
      <c r="U500" s="15"/>
      <c r="V500" s="11"/>
      <c r="W500" s="11"/>
      <c r="X500" s="11"/>
      <c r="Y500" s="11"/>
      <c r="Z500" s="11"/>
    </row>
    <row r="501">
      <c r="A501" s="18"/>
      <c r="B501" s="11"/>
      <c r="C501" s="11"/>
      <c r="D501" s="11"/>
      <c r="E501" s="11"/>
      <c r="F501" s="11"/>
      <c r="G501" s="11"/>
      <c r="H501" s="11"/>
      <c r="I501" s="11"/>
      <c r="J501" s="11"/>
      <c r="K501" s="11"/>
      <c r="L501" s="15"/>
      <c r="M501" s="15"/>
      <c r="N501" s="15"/>
      <c r="O501" s="15"/>
      <c r="P501" s="15"/>
      <c r="Q501" s="11"/>
      <c r="R501" s="11"/>
      <c r="S501" s="11"/>
      <c r="T501" s="11"/>
      <c r="U501" s="15"/>
      <c r="V501" s="11"/>
      <c r="W501" s="11"/>
      <c r="X501" s="11"/>
      <c r="Y501" s="11"/>
      <c r="Z501" s="11"/>
    </row>
    <row r="502">
      <c r="A502" s="18"/>
      <c r="B502" s="11"/>
      <c r="C502" s="11"/>
      <c r="D502" s="11"/>
      <c r="E502" s="11"/>
      <c r="F502" s="11"/>
      <c r="G502" s="11"/>
      <c r="H502" s="11"/>
      <c r="I502" s="11"/>
      <c r="J502" s="11"/>
      <c r="K502" s="11"/>
      <c r="L502" s="15"/>
      <c r="M502" s="15"/>
      <c r="N502" s="15"/>
      <c r="O502" s="15"/>
      <c r="P502" s="15"/>
      <c r="Q502" s="11"/>
      <c r="R502" s="11"/>
      <c r="S502" s="11"/>
      <c r="T502" s="11"/>
      <c r="U502" s="15"/>
      <c r="V502" s="11"/>
      <c r="W502" s="11"/>
      <c r="X502" s="11"/>
      <c r="Y502" s="11"/>
      <c r="Z502" s="11"/>
    </row>
    <row r="503">
      <c r="A503" s="18"/>
      <c r="B503" s="11"/>
      <c r="C503" s="11"/>
      <c r="D503" s="11"/>
      <c r="E503" s="11"/>
      <c r="F503" s="11"/>
      <c r="G503" s="11"/>
      <c r="H503" s="11"/>
      <c r="I503" s="11"/>
      <c r="J503" s="11"/>
      <c r="K503" s="11"/>
      <c r="L503" s="15"/>
      <c r="M503" s="15"/>
      <c r="N503" s="15"/>
      <c r="O503" s="15"/>
      <c r="P503" s="15"/>
      <c r="Q503" s="11"/>
      <c r="R503" s="11"/>
      <c r="S503" s="11"/>
      <c r="T503" s="11"/>
      <c r="U503" s="15"/>
      <c r="V503" s="11"/>
      <c r="W503" s="11"/>
      <c r="X503" s="11"/>
      <c r="Y503" s="11"/>
      <c r="Z503" s="11"/>
    </row>
    <row r="504">
      <c r="A504" s="18"/>
      <c r="B504" s="11"/>
      <c r="C504" s="11"/>
      <c r="D504" s="11"/>
      <c r="E504" s="11"/>
      <c r="F504" s="11"/>
      <c r="G504" s="11"/>
      <c r="H504" s="11"/>
      <c r="I504" s="11"/>
      <c r="J504" s="11"/>
      <c r="K504" s="11"/>
      <c r="L504" s="15"/>
      <c r="M504" s="15"/>
      <c r="N504" s="15"/>
      <c r="O504" s="15"/>
      <c r="P504" s="15"/>
      <c r="Q504" s="11"/>
      <c r="R504" s="11"/>
      <c r="S504" s="11"/>
      <c r="T504" s="11"/>
      <c r="U504" s="15"/>
      <c r="V504" s="11"/>
      <c r="W504" s="11"/>
      <c r="X504" s="11"/>
      <c r="Y504" s="11"/>
      <c r="Z504" s="11"/>
    </row>
    <row r="505">
      <c r="A505" s="18"/>
      <c r="B505" s="11"/>
      <c r="C505" s="11"/>
      <c r="D505" s="11"/>
      <c r="E505" s="11"/>
      <c r="F505" s="11"/>
      <c r="G505" s="11"/>
      <c r="H505" s="11"/>
      <c r="I505" s="11"/>
      <c r="J505" s="11"/>
      <c r="K505" s="11"/>
      <c r="L505" s="15"/>
      <c r="M505" s="15"/>
      <c r="N505" s="15"/>
      <c r="O505" s="15"/>
      <c r="P505" s="15"/>
      <c r="Q505" s="11"/>
      <c r="R505" s="11"/>
      <c r="S505" s="11"/>
      <c r="T505" s="11"/>
      <c r="U505" s="15"/>
      <c r="V505" s="11"/>
      <c r="W505" s="11"/>
      <c r="X505" s="11"/>
      <c r="Y505" s="11"/>
      <c r="Z505" s="11"/>
    </row>
    <row r="506">
      <c r="A506" s="18"/>
      <c r="B506" s="11"/>
      <c r="C506" s="11"/>
      <c r="D506" s="11"/>
      <c r="E506" s="11"/>
      <c r="F506" s="11"/>
      <c r="G506" s="11"/>
      <c r="H506" s="11"/>
      <c r="I506" s="11"/>
      <c r="J506" s="11"/>
      <c r="K506" s="11"/>
      <c r="L506" s="15"/>
      <c r="M506" s="15"/>
      <c r="N506" s="15"/>
      <c r="O506" s="15"/>
      <c r="P506" s="15"/>
      <c r="Q506" s="11"/>
      <c r="R506" s="11"/>
      <c r="S506" s="11"/>
      <c r="T506" s="11"/>
      <c r="U506" s="15"/>
      <c r="V506" s="11"/>
      <c r="W506" s="11"/>
      <c r="X506" s="11"/>
      <c r="Y506" s="11"/>
      <c r="Z506" s="11"/>
    </row>
    <row r="507">
      <c r="A507" s="18"/>
      <c r="B507" s="11"/>
      <c r="C507" s="11"/>
      <c r="D507" s="11"/>
      <c r="E507" s="11"/>
      <c r="F507" s="11"/>
      <c r="G507" s="11"/>
      <c r="H507" s="11"/>
      <c r="I507" s="11"/>
      <c r="J507" s="11"/>
      <c r="K507" s="11"/>
      <c r="L507" s="15"/>
      <c r="M507" s="15"/>
      <c r="N507" s="15"/>
      <c r="O507" s="15"/>
      <c r="P507" s="15"/>
      <c r="Q507" s="11"/>
      <c r="R507" s="11"/>
      <c r="S507" s="11"/>
      <c r="T507" s="11"/>
      <c r="U507" s="15"/>
      <c r="V507" s="11"/>
      <c r="W507" s="11"/>
      <c r="X507" s="11"/>
      <c r="Y507" s="11"/>
      <c r="Z507" s="11"/>
    </row>
    <row r="508">
      <c r="A508" s="18"/>
      <c r="B508" s="11"/>
      <c r="C508" s="11"/>
      <c r="D508" s="11"/>
      <c r="E508" s="11"/>
      <c r="F508" s="11"/>
      <c r="G508" s="11"/>
      <c r="H508" s="11"/>
      <c r="I508" s="11"/>
      <c r="J508" s="11"/>
      <c r="K508" s="11"/>
      <c r="L508" s="15"/>
      <c r="M508" s="15"/>
      <c r="N508" s="15"/>
      <c r="O508" s="15"/>
      <c r="P508" s="15"/>
      <c r="Q508" s="11"/>
      <c r="R508" s="11"/>
      <c r="S508" s="11"/>
      <c r="T508" s="11"/>
      <c r="U508" s="15"/>
      <c r="V508" s="11"/>
      <c r="W508" s="11"/>
      <c r="X508" s="11"/>
      <c r="Y508" s="11"/>
      <c r="Z508" s="11"/>
    </row>
    <row r="509">
      <c r="A509" s="18"/>
      <c r="B509" s="11"/>
      <c r="C509" s="11"/>
      <c r="D509" s="11"/>
      <c r="E509" s="11"/>
      <c r="F509" s="11"/>
      <c r="G509" s="11"/>
      <c r="H509" s="11"/>
      <c r="I509" s="11"/>
      <c r="J509" s="11"/>
      <c r="K509" s="11"/>
      <c r="L509" s="15"/>
      <c r="M509" s="15"/>
      <c r="N509" s="15"/>
      <c r="O509" s="15"/>
      <c r="P509" s="15"/>
      <c r="Q509" s="11"/>
      <c r="R509" s="11"/>
      <c r="S509" s="11"/>
      <c r="T509" s="11"/>
      <c r="U509" s="15"/>
      <c r="V509" s="11"/>
      <c r="W509" s="11"/>
      <c r="X509" s="11"/>
      <c r="Y509" s="11"/>
      <c r="Z509" s="11"/>
    </row>
    <row r="510">
      <c r="A510" s="18"/>
      <c r="B510" s="11"/>
      <c r="C510" s="11"/>
      <c r="D510" s="11"/>
      <c r="E510" s="11"/>
      <c r="F510" s="11"/>
      <c r="G510" s="11"/>
      <c r="H510" s="11"/>
      <c r="I510" s="11"/>
      <c r="J510" s="11"/>
      <c r="K510" s="11"/>
      <c r="L510" s="15"/>
      <c r="M510" s="15"/>
      <c r="N510" s="15"/>
      <c r="O510" s="15"/>
      <c r="P510" s="15"/>
      <c r="Q510" s="11"/>
      <c r="R510" s="11"/>
      <c r="S510" s="11"/>
      <c r="T510" s="11"/>
      <c r="U510" s="15"/>
      <c r="V510" s="11"/>
      <c r="W510" s="11"/>
      <c r="X510" s="11"/>
      <c r="Y510" s="11"/>
      <c r="Z510" s="11"/>
    </row>
    <row r="511">
      <c r="A511" s="18"/>
      <c r="B511" s="11"/>
      <c r="C511" s="11"/>
      <c r="D511" s="11"/>
      <c r="E511" s="11"/>
      <c r="F511" s="11"/>
      <c r="G511" s="11"/>
      <c r="H511" s="11"/>
      <c r="I511" s="11"/>
      <c r="J511" s="11"/>
      <c r="K511" s="11"/>
      <c r="L511" s="15"/>
      <c r="M511" s="15"/>
      <c r="N511" s="15"/>
      <c r="O511" s="15"/>
      <c r="P511" s="15"/>
      <c r="Q511" s="11"/>
      <c r="R511" s="11"/>
      <c r="S511" s="11"/>
      <c r="T511" s="11"/>
      <c r="U511" s="15"/>
      <c r="V511" s="11"/>
      <c r="W511" s="11"/>
      <c r="X511" s="11"/>
      <c r="Y511" s="11"/>
      <c r="Z511" s="11"/>
    </row>
    <row r="512">
      <c r="A512" s="18"/>
      <c r="B512" s="11"/>
      <c r="C512" s="11"/>
      <c r="D512" s="11"/>
      <c r="E512" s="11"/>
      <c r="F512" s="11"/>
      <c r="G512" s="11"/>
      <c r="H512" s="11"/>
      <c r="I512" s="11"/>
      <c r="J512" s="11"/>
      <c r="K512" s="11"/>
      <c r="L512" s="15"/>
      <c r="M512" s="15"/>
      <c r="N512" s="15"/>
      <c r="O512" s="15"/>
      <c r="P512" s="15"/>
      <c r="Q512" s="11"/>
      <c r="R512" s="11"/>
      <c r="S512" s="11"/>
      <c r="T512" s="11"/>
      <c r="U512" s="15"/>
      <c r="V512" s="11"/>
      <c r="W512" s="11"/>
      <c r="X512" s="11"/>
      <c r="Y512" s="11"/>
      <c r="Z512" s="11"/>
    </row>
    <row r="513">
      <c r="A513" s="18"/>
      <c r="B513" s="11"/>
      <c r="C513" s="11"/>
      <c r="D513" s="11"/>
      <c r="E513" s="11"/>
      <c r="F513" s="11"/>
      <c r="G513" s="11"/>
      <c r="H513" s="11"/>
      <c r="I513" s="11"/>
      <c r="J513" s="11"/>
      <c r="K513" s="11"/>
      <c r="L513" s="15"/>
      <c r="M513" s="15"/>
      <c r="N513" s="15"/>
      <c r="O513" s="15"/>
      <c r="P513" s="15"/>
      <c r="Q513" s="11"/>
      <c r="R513" s="11"/>
      <c r="S513" s="11"/>
      <c r="T513" s="11"/>
      <c r="U513" s="15"/>
      <c r="V513" s="11"/>
      <c r="W513" s="11"/>
      <c r="X513" s="11"/>
      <c r="Y513" s="11"/>
      <c r="Z513" s="11"/>
    </row>
    <row r="514">
      <c r="A514" s="18"/>
      <c r="B514" s="11"/>
      <c r="C514" s="11"/>
      <c r="D514" s="11"/>
      <c r="E514" s="11"/>
      <c r="F514" s="11"/>
      <c r="G514" s="11"/>
      <c r="H514" s="11"/>
      <c r="I514" s="11"/>
      <c r="J514" s="11"/>
      <c r="K514" s="11"/>
      <c r="L514" s="15"/>
      <c r="M514" s="15"/>
      <c r="N514" s="15"/>
      <c r="O514" s="15"/>
      <c r="P514" s="15"/>
      <c r="Q514" s="11"/>
      <c r="R514" s="11"/>
      <c r="S514" s="11"/>
      <c r="T514" s="11"/>
      <c r="U514" s="15"/>
      <c r="V514" s="11"/>
      <c r="W514" s="11"/>
      <c r="X514" s="11"/>
      <c r="Y514" s="11"/>
      <c r="Z514" s="11"/>
    </row>
    <row r="515">
      <c r="A515" s="18"/>
      <c r="B515" s="11"/>
      <c r="C515" s="11"/>
      <c r="D515" s="11"/>
      <c r="E515" s="11"/>
      <c r="F515" s="11"/>
      <c r="G515" s="11"/>
      <c r="H515" s="11"/>
      <c r="I515" s="11"/>
      <c r="J515" s="11"/>
      <c r="K515" s="11"/>
      <c r="L515" s="15"/>
      <c r="M515" s="15"/>
      <c r="N515" s="15"/>
      <c r="O515" s="15"/>
      <c r="P515" s="15"/>
      <c r="Q515" s="11"/>
      <c r="R515" s="11"/>
      <c r="S515" s="11"/>
      <c r="T515" s="11"/>
      <c r="U515" s="15"/>
      <c r="V515" s="11"/>
      <c r="W515" s="11"/>
      <c r="X515" s="11"/>
      <c r="Y515" s="11"/>
      <c r="Z515" s="11"/>
    </row>
    <row r="516">
      <c r="A516" s="18"/>
      <c r="B516" s="11"/>
      <c r="C516" s="11"/>
      <c r="D516" s="11"/>
      <c r="E516" s="11"/>
      <c r="F516" s="11"/>
      <c r="G516" s="11"/>
      <c r="H516" s="11"/>
      <c r="I516" s="11"/>
      <c r="J516" s="11"/>
      <c r="K516" s="11"/>
      <c r="L516" s="15"/>
      <c r="M516" s="15"/>
      <c r="N516" s="15"/>
      <c r="O516" s="15"/>
      <c r="P516" s="15"/>
      <c r="Q516" s="11"/>
      <c r="R516" s="11"/>
      <c r="S516" s="11"/>
      <c r="T516" s="11"/>
      <c r="U516" s="15"/>
      <c r="V516" s="11"/>
      <c r="W516" s="11"/>
      <c r="X516" s="11"/>
      <c r="Y516" s="11"/>
      <c r="Z516" s="11"/>
    </row>
    <row r="517">
      <c r="A517" s="18"/>
      <c r="B517" s="11"/>
      <c r="C517" s="11"/>
      <c r="D517" s="11"/>
      <c r="E517" s="11"/>
      <c r="F517" s="11"/>
      <c r="G517" s="11"/>
      <c r="H517" s="11"/>
      <c r="I517" s="11"/>
      <c r="J517" s="11"/>
      <c r="K517" s="11"/>
      <c r="L517" s="15"/>
      <c r="M517" s="15"/>
      <c r="N517" s="15"/>
      <c r="O517" s="15"/>
      <c r="P517" s="15"/>
      <c r="Q517" s="11"/>
      <c r="R517" s="11"/>
      <c r="S517" s="11"/>
      <c r="T517" s="11"/>
      <c r="U517" s="15"/>
      <c r="V517" s="11"/>
      <c r="W517" s="11"/>
      <c r="X517" s="11"/>
      <c r="Y517" s="11"/>
      <c r="Z517" s="11"/>
    </row>
    <row r="518">
      <c r="A518" s="18"/>
      <c r="B518" s="11"/>
      <c r="C518" s="11"/>
      <c r="D518" s="11"/>
      <c r="E518" s="11"/>
      <c r="F518" s="11"/>
      <c r="G518" s="11"/>
      <c r="H518" s="11"/>
      <c r="I518" s="11"/>
      <c r="J518" s="11"/>
      <c r="K518" s="11"/>
      <c r="L518" s="15"/>
      <c r="M518" s="15"/>
      <c r="N518" s="15"/>
      <c r="O518" s="15"/>
      <c r="P518" s="15"/>
      <c r="Q518" s="11"/>
      <c r="R518" s="11"/>
      <c r="S518" s="11"/>
      <c r="T518" s="11"/>
      <c r="U518" s="15"/>
      <c r="V518" s="11"/>
      <c r="W518" s="11"/>
      <c r="X518" s="11"/>
      <c r="Y518" s="11"/>
      <c r="Z518" s="11"/>
    </row>
    <row r="519">
      <c r="A519" s="18"/>
      <c r="B519" s="11"/>
      <c r="C519" s="11"/>
      <c r="D519" s="11"/>
      <c r="E519" s="11"/>
      <c r="F519" s="11"/>
      <c r="G519" s="11"/>
      <c r="H519" s="11"/>
      <c r="I519" s="11"/>
      <c r="J519" s="11"/>
      <c r="K519" s="11"/>
      <c r="L519" s="15"/>
      <c r="M519" s="15"/>
      <c r="N519" s="15"/>
      <c r="O519" s="15"/>
      <c r="P519" s="15"/>
      <c r="Q519" s="11"/>
      <c r="R519" s="11"/>
      <c r="S519" s="11"/>
      <c r="T519" s="11"/>
      <c r="U519" s="15"/>
      <c r="V519" s="11"/>
      <c r="W519" s="11"/>
      <c r="X519" s="11"/>
      <c r="Y519" s="11"/>
      <c r="Z519" s="11"/>
    </row>
    <row r="520">
      <c r="A520" s="18"/>
      <c r="B520" s="11"/>
      <c r="C520" s="11"/>
      <c r="D520" s="11"/>
      <c r="E520" s="11"/>
      <c r="F520" s="11"/>
      <c r="G520" s="11"/>
      <c r="H520" s="11"/>
      <c r="I520" s="11"/>
      <c r="J520" s="11"/>
      <c r="K520" s="11"/>
      <c r="L520" s="15"/>
      <c r="M520" s="15"/>
      <c r="N520" s="15"/>
      <c r="O520" s="15"/>
      <c r="P520" s="15"/>
      <c r="Q520" s="11"/>
      <c r="R520" s="11"/>
      <c r="S520" s="11"/>
      <c r="T520" s="11"/>
      <c r="U520" s="15"/>
      <c r="V520" s="11"/>
      <c r="W520" s="11"/>
      <c r="X520" s="11"/>
      <c r="Y520" s="11"/>
      <c r="Z520" s="11"/>
    </row>
    <row r="521">
      <c r="A521" s="18"/>
      <c r="B521" s="11"/>
      <c r="C521" s="11"/>
      <c r="D521" s="11"/>
      <c r="E521" s="11"/>
      <c r="F521" s="11"/>
      <c r="G521" s="11"/>
      <c r="H521" s="11"/>
      <c r="I521" s="11"/>
      <c r="J521" s="11"/>
      <c r="K521" s="11"/>
      <c r="L521" s="15"/>
      <c r="M521" s="15"/>
      <c r="N521" s="15"/>
      <c r="O521" s="15"/>
      <c r="P521" s="15"/>
      <c r="Q521" s="11"/>
      <c r="R521" s="11"/>
      <c r="S521" s="11"/>
      <c r="T521" s="11"/>
      <c r="U521" s="15"/>
      <c r="V521" s="11"/>
      <c r="W521" s="11"/>
      <c r="X521" s="11"/>
      <c r="Y521" s="11"/>
      <c r="Z521" s="11"/>
    </row>
    <row r="522">
      <c r="A522" s="18"/>
      <c r="B522" s="11"/>
      <c r="C522" s="11"/>
      <c r="D522" s="11"/>
      <c r="E522" s="11"/>
      <c r="F522" s="11"/>
      <c r="G522" s="11"/>
      <c r="H522" s="11"/>
      <c r="I522" s="11"/>
      <c r="J522" s="11"/>
      <c r="K522" s="11"/>
      <c r="L522" s="15"/>
      <c r="M522" s="15"/>
      <c r="N522" s="15"/>
      <c r="O522" s="15"/>
      <c r="P522" s="15"/>
      <c r="Q522" s="11"/>
      <c r="R522" s="11"/>
      <c r="S522" s="11"/>
      <c r="T522" s="11"/>
      <c r="U522" s="15"/>
      <c r="V522" s="11"/>
      <c r="W522" s="11"/>
      <c r="X522" s="11"/>
      <c r="Y522" s="11"/>
      <c r="Z522" s="11"/>
    </row>
    <row r="523">
      <c r="A523" s="18"/>
      <c r="B523" s="11"/>
      <c r="C523" s="11"/>
      <c r="D523" s="11"/>
      <c r="E523" s="11"/>
      <c r="F523" s="11"/>
      <c r="G523" s="11"/>
      <c r="H523" s="11"/>
      <c r="I523" s="11"/>
      <c r="J523" s="11"/>
      <c r="K523" s="11"/>
      <c r="L523" s="15"/>
      <c r="M523" s="15"/>
      <c r="N523" s="15"/>
      <c r="O523" s="15"/>
      <c r="P523" s="15"/>
      <c r="Q523" s="11"/>
      <c r="R523" s="11"/>
      <c r="S523" s="11"/>
      <c r="T523" s="11"/>
      <c r="U523" s="15"/>
      <c r="V523" s="11"/>
      <c r="W523" s="11"/>
      <c r="X523" s="11"/>
      <c r="Y523" s="11"/>
      <c r="Z523" s="11"/>
    </row>
    <row r="524">
      <c r="A524" s="18"/>
      <c r="B524" s="11"/>
      <c r="C524" s="11"/>
      <c r="D524" s="11"/>
      <c r="E524" s="11"/>
      <c r="F524" s="11"/>
      <c r="G524" s="11"/>
      <c r="H524" s="11"/>
      <c r="I524" s="11"/>
      <c r="J524" s="11"/>
      <c r="K524" s="11"/>
      <c r="L524" s="15"/>
      <c r="M524" s="15"/>
      <c r="N524" s="15"/>
      <c r="O524" s="15"/>
      <c r="P524" s="15"/>
      <c r="Q524" s="11"/>
      <c r="R524" s="11"/>
      <c r="S524" s="11"/>
      <c r="T524" s="11"/>
      <c r="U524" s="15"/>
      <c r="V524" s="11"/>
      <c r="W524" s="11"/>
      <c r="X524" s="11"/>
      <c r="Y524" s="11"/>
      <c r="Z524" s="11"/>
    </row>
    <row r="525">
      <c r="A525" s="18"/>
      <c r="B525" s="11"/>
      <c r="C525" s="11"/>
      <c r="D525" s="11"/>
      <c r="E525" s="11"/>
      <c r="F525" s="11"/>
      <c r="G525" s="11"/>
      <c r="H525" s="11"/>
      <c r="I525" s="11"/>
      <c r="J525" s="11"/>
      <c r="K525" s="11"/>
      <c r="L525" s="15"/>
      <c r="M525" s="15"/>
      <c r="N525" s="15"/>
      <c r="O525" s="15"/>
      <c r="P525" s="15"/>
      <c r="Q525" s="11"/>
      <c r="R525" s="11"/>
      <c r="S525" s="11"/>
      <c r="T525" s="11"/>
      <c r="U525" s="15"/>
      <c r="V525" s="11"/>
      <c r="W525" s="11"/>
      <c r="X525" s="11"/>
      <c r="Y525" s="11"/>
      <c r="Z525" s="11"/>
    </row>
    <row r="526">
      <c r="A526" s="18"/>
      <c r="B526" s="11"/>
      <c r="C526" s="11"/>
      <c r="D526" s="11"/>
      <c r="E526" s="11"/>
      <c r="F526" s="11"/>
      <c r="G526" s="11"/>
      <c r="H526" s="11"/>
      <c r="I526" s="11"/>
      <c r="J526" s="11"/>
      <c r="K526" s="11"/>
      <c r="L526" s="15"/>
      <c r="M526" s="15"/>
      <c r="N526" s="15"/>
      <c r="O526" s="15"/>
      <c r="P526" s="15"/>
      <c r="Q526" s="11"/>
      <c r="R526" s="11"/>
      <c r="S526" s="11"/>
      <c r="T526" s="11"/>
      <c r="U526" s="15"/>
      <c r="V526" s="11"/>
      <c r="W526" s="11"/>
      <c r="X526" s="11"/>
      <c r="Y526" s="11"/>
      <c r="Z526" s="11"/>
    </row>
    <row r="527">
      <c r="A527" s="18"/>
      <c r="B527" s="11"/>
      <c r="C527" s="11"/>
      <c r="D527" s="11"/>
      <c r="E527" s="11"/>
      <c r="F527" s="11"/>
      <c r="G527" s="11"/>
      <c r="H527" s="11"/>
      <c r="I527" s="11"/>
      <c r="J527" s="11"/>
      <c r="K527" s="11"/>
      <c r="L527" s="15"/>
      <c r="M527" s="15"/>
      <c r="N527" s="15"/>
      <c r="O527" s="15"/>
      <c r="P527" s="15"/>
      <c r="Q527" s="11"/>
      <c r="R527" s="11"/>
      <c r="S527" s="11"/>
      <c r="T527" s="11"/>
      <c r="U527" s="15"/>
      <c r="V527" s="11"/>
      <c r="W527" s="11"/>
      <c r="X527" s="11"/>
      <c r="Y527" s="11"/>
      <c r="Z527" s="11"/>
    </row>
    <row r="528">
      <c r="A528" s="18"/>
      <c r="B528" s="11"/>
      <c r="C528" s="11"/>
      <c r="D528" s="11"/>
      <c r="E528" s="11"/>
      <c r="F528" s="11"/>
      <c r="G528" s="11"/>
      <c r="H528" s="11"/>
      <c r="I528" s="11"/>
      <c r="J528" s="11"/>
      <c r="K528" s="11"/>
      <c r="L528" s="15"/>
      <c r="M528" s="15"/>
      <c r="N528" s="15"/>
      <c r="O528" s="15"/>
      <c r="P528" s="15"/>
      <c r="Q528" s="11"/>
      <c r="R528" s="11"/>
      <c r="S528" s="11"/>
      <c r="T528" s="11"/>
      <c r="U528" s="15"/>
      <c r="V528" s="11"/>
      <c r="W528" s="11"/>
      <c r="X528" s="11"/>
      <c r="Y528" s="11"/>
      <c r="Z528" s="11"/>
    </row>
    <row r="529">
      <c r="A529" s="18"/>
      <c r="B529" s="11"/>
      <c r="C529" s="11"/>
      <c r="D529" s="11"/>
      <c r="E529" s="11"/>
      <c r="F529" s="11"/>
      <c r="G529" s="11"/>
      <c r="H529" s="11"/>
      <c r="I529" s="11"/>
      <c r="J529" s="11"/>
      <c r="K529" s="11"/>
      <c r="L529" s="15"/>
      <c r="M529" s="15"/>
      <c r="N529" s="15"/>
      <c r="O529" s="15"/>
      <c r="P529" s="15"/>
      <c r="Q529" s="11"/>
      <c r="R529" s="11"/>
      <c r="S529" s="11"/>
      <c r="T529" s="11"/>
      <c r="U529" s="15"/>
      <c r="V529" s="11"/>
      <c r="W529" s="11"/>
      <c r="X529" s="11"/>
      <c r="Y529" s="11"/>
      <c r="Z529" s="11"/>
    </row>
    <row r="530">
      <c r="A530" s="18"/>
      <c r="B530" s="11"/>
      <c r="C530" s="11"/>
      <c r="D530" s="11"/>
      <c r="E530" s="11"/>
      <c r="F530" s="11"/>
      <c r="G530" s="11"/>
      <c r="H530" s="11"/>
      <c r="I530" s="11"/>
      <c r="J530" s="11"/>
      <c r="K530" s="11"/>
      <c r="L530" s="15"/>
      <c r="M530" s="15"/>
      <c r="N530" s="15"/>
      <c r="O530" s="15"/>
      <c r="P530" s="15"/>
      <c r="Q530" s="11"/>
      <c r="R530" s="11"/>
      <c r="S530" s="11"/>
      <c r="T530" s="11"/>
      <c r="U530" s="15"/>
      <c r="V530" s="11"/>
      <c r="W530" s="11"/>
      <c r="X530" s="11"/>
      <c r="Y530" s="11"/>
      <c r="Z530" s="11"/>
    </row>
    <row r="531">
      <c r="A531" s="18"/>
      <c r="B531" s="11"/>
      <c r="C531" s="11"/>
      <c r="D531" s="11"/>
      <c r="E531" s="11"/>
      <c r="F531" s="11"/>
      <c r="G531" s="11"/>
      <c r="H531" s="11"/>
      <c r="I531" s="11"/>
      <c r="J531" s="11"/>
      <c r="K531" s="11"/>
      <c r="L531" s="15"/>
      <c r="M531" s="15"/>
      <c r="N531" s="15"/>
      <c r="O531" s="15"/>
      <c r="P531" s="15"/>
      <c r="Q531" s="11"/>
      <c r="R531" s="11"/>
      <c r="S531" s="11"/>
      <c r="T531" s="11"/>
      <c r="U531" s="15"/>
      <c r="V531" s="11"/>
      <c r="W531" s="11"/>
      <c r="X531" s="11"/>
      <c r="Y531" s="11"/>
      <c r="Z531" s="11"/>
    </row>
    <row r="532">
      <c r="A532" s="18"/>
      <c r="B532" s="11"/>
      <c r="C532" s="11"/>
      <c r="D532" s="11"/>
      <c r="E532" s="11"/>
      <c r="F532" s="11"/>
      <c r="G532" s="11"/>
      <c r="H532" s="11"/>
      <c r="I532" s="11"/>
      <c r="J532" s="11"/>
      <c r="K532" s="11"/>
      <c r="L532" s="15"/>
      <c r="M532" s="15"/>
      <c r="N532" s="15"/>
      <c r="O532" s="15"/>
      <c r="P532" s="15"/>
      <c r="Q532" s="11"/>
      <c r="R532" s="11"/>
      <c r="S532" s="11"/>
      <c r="T532" s="11"/>
      <c r="U532" s="15"/>
      <c r="V532" s="11"/>
      <c r="W532" s="11"/>
      <c r="X532" s="11"/>
      <c r="Y532" s="11"/>
      <c r="Z532" s="11"/>
    </row>
    <row r="533">
      <c r="A533" s="18"/>
      <c r="B533" s="11"/>
      <c r="C533" s="11"/>
      <c r="D533" s="11"/>
      <c r="E533" s="11"/>
      <c r="F533" s="11"/>
      <c r="G533" s="11"/>
      <c r="H533" s="11"/>
      <c r="I533" s="11"/>
      <c r="J533" s="11"/>
      <c r="K533" s="11"/>
      <c r="L533" s="15"/>
      <c r="M533" s="15"/>
      <c r="N533" s="15"/>
      <c r="O533" s="15"/>
      <c r="P533" s="15"/>
      <c r="Q533" s="11"/>
      <c r="R533" s="11"/>
      <c r="S533" s="11"/>
      <c r="T533" s="11"/>
      <c r="U533" s="15"/>
      <c r="V533" s="11"/>
      <c r="W533" s="11"/>
      <c r="X533" s="11"/>
      <c r="Y533" s="11"/>
      <c r="Z533" s="11"/>
    </row>
    <row r="534">
      <c r="A534" s="18"/>
      <c r="B534" s="11"/>
      <c r="C534" s="11"/>
      <c r="D534" s="11"/>
      <c r="E534" s="11"/>
      <c r="F534" s="11"/>
      <c r="G534" s="11"/>
      <c r="H534" s="11"/>
      <c r="I534" s="11"/>
      <c r="J534" s="11"/>
      <c r="K534" s="11"/>
      <c r="L534" s="15"/>
      <c r="M534" s="15"/>
      <c r="N534" s="15"/>
      <c r="O534" s="15"/>
      <c r="P534" s="15"/>
      <c r="Q534" s="11"/>
      <c r="R534" s="11"/>
      <c r="S534" s="11"/>
      <c r="T534" s="11"/>
      <c r="U534" s="15"/>
      <c r="V534" s="11"/>
      <c r="W534" s="11"/>
      <c r="X534" s="11"/>
      <c r="Y534" s="11"/>
      <c r="Z534" s="11"/>
    </row>
    <row r="535">
      <c r="A535" s="18"/>
      <c r="B535" s="11"/>
      <c r="C535" s="11"/>
      <c r="D535" s="11"/>
      <c r="E535" s="11"/>
      <c r="F535" s="11"/>
      <c r="G535" s="11"/>
      <c r="H535" s="11"/>
      <c r="I535" s="11"/>
      <c r="J535" s="11"/>
      <c r="K535" s="11"/>
      <c r="L535" s="15"/>
      <c r="M535" s="15"/>
      <c r="N535" s="15"/>
      <c r="O535" s="15"/>
      <c r="P535" s="15"/>
      <c r="Q535" s="11"/>
      <c r="R535" s="11"/>
      <c r="S535" s="11"/>
      <c r="T535" s="11"/>
      <c r="U535" s="15"/>
      <c r="V535" s="11"/>
      <c r="W535" s="11"/>
      <c r="X535" s="11"/>
      <c r="Y535" s="11"/>
      <c r="Z535" s="11"/>
    </row>
    <row r="536">
      <c r="A536" s="18"/>
      <c r="B536" s="11"/>
      <c r="C536" s="11"/>
      <c r="D536" s="11"/>
      <c r="E536" s="11"/>
      <c r="F536" s="11"/>
      <c r="G536" s="11"/>
      <c r="H536" s="11"/>
      <c r="I536" s="11"/>
      <c r="J536" s="11"/>
      <c r="K536" s="11"/>
      <c r="L536" s="15"/>
      <c r="M536" s="15"/>
      <c r="N536" s="15"/>
      <c r="O536" s="15"/>
      <c r="P536" s="15"/>
      <c r="Q536" s="11"/>
      <c r="R536" s="11"/>
      <c r="S536" s="11"/>
      <c r="T536" s="11"/>
      <c r="U536" s="15"/>
      <c r="V536" s="11"/>
      <c r="W536" s="11"/>
      <c r="X536" s="11"/>
      <c r="Y536" s="11"/>
      <c r="Z536" s="11"/>
    </row>
    <row r="537">
      <c r="A537" s="18"/>
      <c r="B537" s="11"/>
      <c r="C537" s="11"/>
      <c r="D537" s="11"/>
      <c r="E537" s="11"/>
      <c r="F537" s="11"/>
      <c r="G537" s="11"/>
      <c r="H537" s="11"/>
      <c r="I537" s="11"/>
      <c r="J537" s="11"/>
      <c r="K537" s="11"/>
      <c r="L537" s="15"/>
      <c r="M537" s="15"/>
      <c r="N537" s="15"/>
      <c r="O537" s="15"/>
      <c r="P537" s="15"/>
      <c r="Q537" s="11"/>
      <c r="R537" s="11"/>
      <c r="S537" s="11"/>
      <c r="T537" s="11"/>
      <c r="U537" s="15"/>
      <c r="V537" s="11"/>
      <c r="W537" s="11"/>
      <c r="X537" s="11"/>
      <c r="Y537" s="11"/>
      <c r="Z537" s="11"/>
    </row>
    <row r="538">
      <c r="A538" s="18"/>
      <c r="B538" s="11"/>
      <c r="C538" s="11"/>
      <c r="D538" s="11"/>
      <c r="E538" s="11"/>
      <c r="F538" s="11"/>
      <c r="G538" s="11"/>
      <c r="H538" s="11"/>
      <c r="I538" s="11"/>
      <c r="J538" s="11"/>
      <c r="K538" s="11"/>
      <c r="L538" s="15"/>
      <c r="M538" s="15"/>
      <c r="N538" s="15"/>
      <c r="O538" s="15"/>
      <c r="P538" s="15"/>
      <c r="Q538" s="11"/>
      <c r="R538" s="11"/>
      <c r="S538" s="11"/>
      <c r="T538" s="11"/>
      <c r="U538" s="15"/>
      <c r="V538" s="11"/>
      <c r="W538" s="11"/>
      <c r="X538" s="11"/>
      <c r="Y538" s="11"/>
      <c r="Z538" s="11"/>
    </row>
    <row r="539">
      <c r="A539" s="18"/>
      <c r="B539" s="11"/>
      <c r="C539" s="11"/>
      <c r="D539" s="11"/>
      <c r="E539" s="11"/>
      <c r="F539" s="11"/>
      <c r="G539" s="11"/>
      <c r="H539" s="11"/>
      <c r="I539" s="11"/>
      <c r="J539" s="11"/>
      <c r="K539" s="11"/>
      <c r="L539" s="15"/>
      <c r="M539" s="15"/>
      <c r="N539" s="15"/>
      <c r="O539" s="15"/>
      <c r="P539" s="15"/>
      <c r="Q539" s="11"/>
      <c r="R539" s="11"/>
      <c r="S539" s="11"/>
      <c r="T539" s="11"/>
      <c r="U539" s="15"/>
      <c r="V539" s="11"/>
      <c r="W539" s="11"/>
      <c r="X539" s="11"/>
      <c r="Y539" s="11"/>
      <c r="Z539" s="11"/>
    </row>
    <row r="540">
      <c r="A540" s="18"/>
      <c r="B540" s="11"/>
      <c r="C540" s="11"/>
      <c r="D540" s="11"/>
      <c r="E540" s="11"/>
      <c r="F540" s="11"/>
      <c r="G540" s="11"/>
      <c r="H540" s="11"/>
      <c r="I540" s="11"/>
      <c r="J540" s="11"/>
      <c r="K540" s="11"/>
      <c r="L540" s="15"/>
      <c r="M540" s="15"/>
      <c r="N540" s="15"/>
      <c r="O540" s="15"/>
      <c r="P540" s="15"/>
      <c r="Q540" s="11"/>
      <c r="R540" s="11"/>
      <c r="S540" s="11"/>
      <c r="T540" s="11"/>
      <c r="U540" s="15"/>
      <c r="V540" s="11"/>
      <c r="W540" s="11"/>
      <c r="X540" s="11"/>
      <c r="Y540" s="11"/>
      <c r="Z540" s="11"/>
    </row>
    <row r="541">
      <c r="A541" s="18"/>
      <c r="B541" s="11"/>
      <c r="C541" s="11"/>
      <c r="D541" s="11"/>
      <c r="E541" s="11"/>
      <c r="F541" s="11"/>
      <c r="G541" s="11"/>
      <c r="H541" s="11"/>
      <c r="I541" s="11"/>
      <c r="J541" s="11"/>
      <c r="K541" s="11"/>
      <c r="L541" s="15"/>
      <c r="M541" s="15"/>
      <c r="N541" s="15"/>
      <c r="O541" s="15"/>
      <c r="P541" s="15"/>
      <c r="Q541" s="11"/>
      <c r="R541" s="11"/>
      <c r="S541" s="11"/>
      <c r="T541" s="11"/>
      <c r="U541" s="15"/>
      <c r="V541" s="11"/>
      <c r="W541" s="11"/>
      <c r="X541" s="11"/>
      <c r="Y541" s="11"/>
      <c r="Z541" s="11"/>
    </row>
    <row r="542">
      <c r="A542" s="18"/>
      <c r="B542" s="11"/>
      <c r="C542" s="11"/>
      <c r="D542" s="11"/>
      <c r="E542" s="11"/>
      <c r="F542" s="11"/>
      <c r="G542" s="11"/>
      <c r="H542" s="11"/>
      <c r="I542" s="11"/>
      <c r="J542" s="11"/>
      <c r="K542" s="11"/>
      <c r="L542" s="15"/>
      <c r="M542" s="15"/>
      <c r="N542" s="15"/>
      <c r="O542" s="15"/>
      <c r="P542" s="15"/>
      <c r="Q542" s="11"/>
      <c r="R542" s="11"/>
      <c r="S542" s="11"/>
      <c r="T542" s="11"/>
      <c r="U542" s="15"/>
      <c r="V542" s="11"/>
      <c r="W542" s="11"/>
      <c r="X542" s="11"/>
      <c r="Y542" s="11"/>
      <c r="Z542" s="11"/>
    </row>
    <row r="543">
      <c r="A543" s="18"/>
      <c r="B543" s="11"/>
      <c r="C543" s="11"/>
      <c r="D543" s="11"/>
      <c r="E543" s="11"/>
      <c r="F543" s="11"/>
      <c r="G543" s="11"/>
      <c r="H543" s="11"/>
      <c r="I543" s="11"/>
      <c r="J543" s="11"/>
      <c r="K543" s="11"/>
      <c r="L543" s="15"/>
      <c r="M543" s="15"/>
      <c r="N543" s="15"/>
      <c r="O543" s="15"/>
      <c r="P543" s="15"/>
      <c r="Q543" s="11"/>
      <c r="R543" s="11"/>
      <c r="S543" s="11"/>
      <c r="T543" s="11"/>
      <c r="U543" s="15"/>
      <c r="V543" s="11"/>
      <c r="W543" s="11"/>
      <c r="X543" s="11"/>
      <c r="Y543" s="11"/>
      <c r="Z543" s="11"/>
    </row>
    <row r="544">
      <c r="A544" s="18"/>
      <c r="B544" s="11"/>
      <c r="C544" s="11"/>
      <c r="D544" s="11"/>
      <c r="E544" s="11"/>
      <c r="F544" s="11"/>
      <c r="G544" s="11"/>
      <c r="H544" s="11"/>
      <c r="I544" s="11"/>
      <c r="J544" s="11"/>
      <c r="K544" s="11"/>
      <c r="L544" s="15"/>
      <c r="M544" s="15"/>
      <c r="N544" s="15"/>
      <c r="O544" s="15"/>
      <c r="P544" s="15"/>
      <c r="Q544" s="11"/>
      <c r="R544" s="11"/>
      <c r="S544" s="11"/>
      <c r="T544" s="11"/>
      <c r="U544" s="15"/>
      <c r="V544" s="11"/>
      <c r="W544" s="11"/>
      <c r="X544" s="11"/>
      <c r="Y544" s="11"/>
      <c r="Z544" s="11"/>
    </row>
    <row r="545">
      <c r="A545" s="18"/>
      <c r="B545" s="11"/>
      <c r="C545" s="11"/>
      <c r="D545" s="11"/>
      <c r="E545" s="11"/>
      <c r="F545" s="11"/>
      <c r="G545" s="11"/>
      <c r="H545" s="11"/>
      <c r="I545" s="11"/>
      <c r="J545" s="11"/>
      <c r="K545" s="11"/>
      <c r="L545" s="15"/>
      <c r="M545" s="15"/>
      <c r="N545" s="15"/>
      <c r="O545" s="15"/>
      <c r="P545" s="15"/>
      <c r="Q545" s="11"/>
      <c r="R545" s="11"/>
      <c r="S545" s="11"/>
      <c r="T545" s="11"/>
      <c r="U545" s="15"/>
      <c r="V545" s="11"/>
      <c r="W545" s="11"/>
      <c r="X545" s="11"/>
      <c r="Y545" s="11"/>
      <c r="Z545" s="11"/>
    </row>
    <row r="546">
      <c r="A546" s="18"/>
      <c r="B546" s="11"/>
      <c r="C546" s="11"/>
      <c r="D546" s="11"/>
      <c r="E546" s="11"/>
      <c r="F546" s="11"/>
      <c r="G546" s="11"/>
      <c r="H546" s="11"/>
      <c r="I546" s="11"/>
      <c r="J546" s="11"/>
      <c r="K546" s="11"/>
      <c r="L546" s="15"/>
      <c r="M546" s="15"/>
      <c r="N546" s="15"/>
      <c r="O546" s="15"/>
      <c r="P546" s="15"/>
      <c r="Q546" s="11"/>
      <c r="R546" s="11"/>
      <c r="S546" s="11"/>
      <c r="T546" s="11"/>
      <c r="U546" s="15"/>
      <c r="V546" s="11"/>
      <c r="W546" s="11"/>
      <c r="X546" s="11"/>
      <c r="Y546" s="11"/>
      <c r="Z546" s="11"/>
    </row>
    <row r="547">
      <c r="A547" s="18"/>
      <c r="B547" s="11"/>
      <c r="C547" s="11"/>
      <c r="D547" s="11"/>
      <c r="E547" s="11"/>
      <c r="F547" s="11"/>
      <c r="G547" s="11"/>
      <c r="H547" s="11"/>
      <c r="I547" s="11"/>
      <c r="J547" s="11"/>
      <c r="K547" s="11"/>
      <c r="L547" s="15"/>
      <c r="M547" s="15"/>
      <c r="N547" s="15"/>
      <c r="O547" s="15"/>
      <c r="P547" s="15"/>
      <c r="Q547" s="11"/>
      <c r="R547" s="11"/>
      <c r="S547" s="11"/>
      <c r="T547" s="11"/>
      <c r="U547" s="15"/>
      <c r="V547" s="11"/>
      <c r="W547" s="11"/>
      <c r="X547" s="11"/>
      <c r="Y547" s="11"/>
      <c r="Z547" s="11"/>
    </row>
    <row r="548">
      <c r="A548" s="18"/>
      <c r="B548" s="11"/>
      <c r="C548" s="11"/>
      <c r="D548" s="11"/>
      <c r="E548" s="11"/>
      <c r="F548" s="11"/>
      <c r="G548" s="11"/>
      <c r="H548" s="11"/>
      <c r="I548" s="11"/>
      <c r="J548" s="11"/>
      <c r="K548" s="11"/>
      <c r="L548" s="15"/>
      <c r="M548" s="15"/>
      <c r="N548" s="15"/>
      <c r="O548" s="15"/>
      <c r="P548" s="15"/>
      <c r="Q548" s="11"/>
      <c r="R548" s="11"/>
      <c r="S548" s="11"/>
      <c r="T548" s="11"/>
      <c r="U548" s="15"/>
      <c r="V548" s="11"/>
      <c r="W548" s="11"/>
      <c r="X548" s="11"/>
      <c r="Y548" s="11"/>
      <c r="Z548" s="11"/>
    </row>
    <row r="549">
      <c r="A549" s="18"/>
      <c r="B549" s="11"/>
      <c r="C549" s="11"/>
      <c r="D549" s="11"/>
      <c r="E549" s="11"/>
      <c r="F549" s="11"/>
      <c r="G549" s="11"/>
      <c r="H549" s="11"/>
      <c r="I549" s="11"/>
      <c r="J549" s="11"/>
      <c r="K549" s="11"/>
      <c r="L549" s="15"/>
      <c r="M549" s="15"/>
      <c r="N549" s="15"/>
      <c r="O549" s="15"/>
      <c r="P549" s="15"/>
      <c r="Q549" s="11"/>
      <c r="R549" s="11"/>
      <c r="S549" s="11"/>
      <c r="T549" s="11"/>
      <c r="U549" s="15"/>
      <c r="V549" s="11"/>
      <c r="W549" s="11"/>
      <c r="X549" s="11"/>
      <c r="Y549" s="11"/>
      <c r="Z549" s="11"/>
    </row>
    <row r="550">
      <c r="A550" s="18"/>
      <c r="B550" s="11"/>
      <c r="C550" s="11"/>
      <c r="D550" s="11"/>
      <c r="E550" s="11"/>
      <c r="F550" s="11"/>
      <c r="G550" s="11"/>
      <c r="H550" s="11"/>
      <c r="I550" s="11"/>
      <c r="J550" s="11"/>
      <c r="K550" s="11"/>
      <c r="L550" s="15"/>
      <c r="M550" s="15"/>
      <c r="N550" s="15"/>
      <c r="O550" s="15"/>
      <c r="P550" s="15"/>
      <c r="Q550" s="11"/>
      <c r="R550" s="11"/>
      <c r="S550" s="11"/>
      <c r="T550" s="11"/>
      <c r="U550" s="15"/>
      <c r="V550" s="11"/>
      <c r="W550" s="11"/>
      <c r="X550" s="11"/>
      <c r="Y550" s="11"/>
      <c r="Z550" s="11"/>
    </row>
    <row r="551">
      <c r="A551" s="18"/>
      <c r="B551" s="11"/>
      <c r="C551" s="11"/>
      <c r="D551" s="11"/>
      <c r="E551" s="11"/>
      <c r="F551" s="11"/>
      <c r="G551" s="11"/>
      <c r="H551" s="11"/>
      <c r="I551" s="11"/>
      <c r="J551" s="11"/>
      <c r="K551" s="11"/>
      <c r="L551" s="15"/>
      <c r="M551" s="15"/>
      <c r="N551" s="15"/>
      <c r="O551" s="15"/>
      <c r="P551" s="15"/>
      <c r="Q551" s="11"/>
      <c r="R551" s="11"/>
      <c r="S551" s="11"/>
      <c r="T551" s="11"/>
      <c r="U551" s="15"/>
      <c r="V551" s="11"/>
      <c r="W551" s="11"/>
      <c r="X551" s="11"/>
      <c r="Y551" s="11"/>
      <c r="Z551" s="11"/>
    </row>
    <row r="552">
      <c r="A552" s="18"/>
      <c r="B552" s="11"/>
      <c r="C552" s="11"/>
      <c r="D552" s="11"/>
      <c r="E552" s="11"/>
      <c r="F552" s="11"/>
      <c r="G552" s="11"/>
      <c r="H552" s="11"/>
      <c r="I552" s="11"/>
      <c r="J552" s="11"/>
      <c r="K552" s="11"/>
      <c r="L552" s="15"/>
      <c r="M552" s="15"/>
      <c r="N552" s="15"/>
      <c r="O552" s="15"/>
      <c r="P552" s="15"/>
      <c r="Q552" s="11"/>
      <c r="R552" s="11"/>
      <c r="S552" s="11"/>
      <c r="T552" s="11"/>
      <c r="U552" s="15"/>
      <c r="V552" s="11"/>
      <c r="W552" s="11"/>
      <c r="X552" s="11"/>
      <c r="Y552" s="11"/>
      <c r="Z552" s="11"/>
    </row>
    <row r="553">
      <c r="A553" s="18"/>
      <c r="B553" s="11"/>
      <c r="C553" s="11"/>
      <c r="D553" s="11"/>
      <c r="E553" s="11"/>
      <c r="F553" s="11"/>
      <c r="G553" s="11"/>
      <c r="H553" s="11"/>
      <c r="I553" s="11"/>
      <c r="J553" s="11"/>
      <c r="K553" s="11"/>
      <c r="L553" s="15"/>
      <c r="M553" s="15"/>
      <c r="N553" s="15"/>
      <c r="O553" s="15"/>
      <c r="P553" s="15"/>
      <c r="Q553" s="11"/>
      <c r="R553" s="11"/>
      <c r="S553" s="11"/>
      <c r="T553" s="11"/>
      <c r="U553" s="15"/>
      <c r="V553" s="11"/>
      <c r="W553" s="11"/>
      <c r="X553" s="11"/>
      <c r="Y553" s="11"/>
      <c r="Z553" s="11"/>
    </row>
    <row r="554">
      <c r="A554" s="18"/>
      <c r="B554" s="11"/>
      <c r="C554" s="11"/>
      <c r="D554" s="11"/>
      <c r="E554" s="11"/>
      <c r="F554" s="11"/>
      <c r="G554" s="11"/>
      <c r="H554" s="11"/>
      <c r="I554" s="11"/>
      <c r="J554" s="11"/>
      <c r="K554" s="11"/>
      <c r="L554" s="15"/>
      <c r="M554" s="15"/>
      <c r="N554" s="15"/>
      <c r="O554" s="15"/>
      <c r="P554" s="15"/>
      <c r="Q554" s="11"/>
      <c r="R554" s="11"/>
      <c r="S554" s="11"/>
      <c r="T554" s="11"/>
      <c r="U554" s="15"/>
      <c r="V554" s="11"/>
      <c r="W554" s="11"/>
      <c r="X554" s="11"/>
      <c r="Y554" s="11"/>
      <c r="Z554" s="11"/>
    </row>
    <row r="555">
      <c r="A555" s="18"/>
      <c r="B555" s="11"/>
      <c r="C555" s="11"/>
      <c r="D555" s="11"/>
      <c r="E555" s="11"/>
      <c r="F555" s="11"/>
      <c r="G555" s="11"/>
      <c r="H555" s="11"/>
      <c r="I555" s="11"/>
      <c r="J555" s="11"/>
      <c r="K555" s="11"/>
      <c r="L555" s="15"/>
      <c r="M555" s="15"/>
      <c r="N555" s="15"/>
      <c r="O555" s="15"/>
      <c r="P555" s="15"/>
      <c r="Q555" s="11"/>
      <c r="R555" s="11"/>
      <c r="S555" s="11"/>
      <c r="T555" s="11"/>
      <c r="U555" s="15"/>
      <c r="V555" s="11"/>
      <c r="W555" s="11"/>
      <c r="X555" s="11"/>
      <c r="Y555" s="11"/>
      <c r="Z555" s="11"/>
    </row>
    <row r="556">
      <c r="A556" s="18"/>
      <c r="B556" s="11"/>
      <c r="C556" s="11"/>
      <c r="D556" s="11"/>
      <c r="E556" s="11"/>
      <c r="F556" s="11"/>
      <c r="G556" s="11"/>
      <c r="H556" s="11"/>
      <c r="I556" s="11"/>
      <c r="J556" s="11"/>
      <c r="K556" s="11"/>
      <c r="L556" s="15"/>
      <c r="M556" s="15"/>
      <c r="N556" s="15"/>
      <c r="O556" s="15"/>
      <c r="P556" s="15"/>
      <c r="Q556" s="11"/>
      <c r="R556" s="11"/>
      <c r="S556" s="11"/>
      <c r="T556" s="11"/>
      <c r="U556" s="15"/>
      <c r="V556" s="11"/>
      <c r="W556" s="11"/>
      <c r="X556" s="11"/>
      <c r="Y556" s="11"/>
      <c r="Z556" s="11"/>
    </row>
    <row r="557">
      <c r="A557" s="18"/>
      <c r="B557" s="11"/>
      <c r="C557" s="11"/>
      <c r="D557" s="11"/>
      <c r="E557" s="11"/>
      <c r="F557" s="11"/>
      <c r="G557" s="11"/>
      <c r="H557" s="11"/>
      <c r="I557" s="11"/>
      <c r="J557" s="11"/>
      <c r="K557" s="11"/>
      <c r="L557" s="15"/>
      <c r="M557" s="15"/>
      <c r="N557" s="15"/>
      <c r="O557" s="15"/>
      <c r="P557" s="15"/>
      <c r="Q557" s="11"/>
      <c r="R557" s="11"/>
      <c r="S557" s="11"/>
      <c r="T557" s="11"/>
      <c r="U557" s="15"/>
      <c r="V557" s="11"/>
      <c r="W557" s="11"/>
      <c r="X557" s="11"/>
      <c r="Y557" s="11"/>
      <c r="Z557" s="11"/>
    </row>
    <row r="558">
      <c r="A558" s="18"/>
      <c r="B558" s="11"/>
      <c r="C558" s="11"/>
      <c r="D558" s="11"/>
      <c r="E558" s="11"/>
      <c r="F558" s="11"/>
      <c r="G558" s="11"/>
      <c r="H558" s="11"/>
      <c r="I558" s="11"/>
      <c r="J558" s="11"/>
      <c r="K558" s="11"/>
      <c r="L558" s="15"/>
      <c r="M558" s="15"/>
      <c r="N558" s="15"/>
      <c r="O558" s="15"/>
      <c r="P558" s="15"/>
      <c r="Q558" s="11"/>
      <c r="R558" s="11"/>
      <c r="S558" s="11"/>
      <c r="T558" s="11"/>
      <c r="U558" s="15"/>
      <c r="V558" s="11"/>
      <c r="W558" s="11"/>
      <c r="X558" s="11"/>
      <c r="Y558" s="11"/>
      <c r="Z558" s="11"/>
    </row>
    <row r="559">
      <c r="A559" s="18"/>
      <c r="B559" s="11"/>
      <c r="C559" s="11"/>
      <c r="D559" s="11"/>
      <c r="E559" s="11"/>
      <c r="F559" s="11"/>
      <c r="G559" s="11"/>
      <c r="H559" s="11"/>
      <c r="I559" s="11"/>
      <c r="J559" s="11"/>
      <c r="K559" s="11"/>
      <c r="L559" s="15"/>
      <c r="M559" s="15"/>
      <c r="N559" s="15"/>
      <c r="O559" s="15"/>
      <c r="P559" s="15"/>
      <c r="Q559" s="11"/>
      <c r="R559" s="11"/>
      <c r="S559" s="11"/>
      <c r="T559" s="11"/>
      <c r="U559" s="15"/>
      <c r="V559" s="11"/>
      <c r="W559" s="11"/>
      <c r="X559" s="11"/>
      <c r="Y559" s="11"/>
      <c r="Z559" s="11"/>
    </row>
    <row r="560">
      <c r="A560" s="18"/>
      <c r="B560" s="11"/>
      <c r="C560" s="11"/>
      <c r="D560" s="11"/>
      <c r="E560" s="11"/>
      <c r="F560" s="11"/>
      <c r="G560" s="11"/>
      <c r="H560" s="11"/>
      <c r="I560" s="11"/>
      <c r="J560" s="11"/>
      <c r="K560" s="11"/>
      <c r="L560" s="15"/>
      <c r="M560" s="15"/>
      <c r="N560" s="15"/>
      <c r="O560" s="15"/>
      <c r="P560" s="15"/>
      <c r="Q560" s="11"/>
      <c r="R560" s="11"/>
      <c r="S560" s="11"/>
      <c r="T560" s="11"/>
      <c r="U560" s="15"/>
      <c r="V560" s="11"/>
      <c r="W560" s="11"/>
      <c r="X560" s="11"/>
      <c r="Y560" s="11"/>
      <c r="Z560" s="11"/>
    </row>
    <row r="561">
      <c r="A561" s="18"/>
      <c r="B561" s="11"/>
      <c r="C561" s="11"/>
      <c r="D561" s="11"/>
      <c r="E561" s="11"/>
      <c r="F561" s="11"/>
      <c r="G561" s="11"/>
      <c r="H561" s="11"/>
      <c r="I561" s="11"/>
      <c r="J561" s="11"/>
      <c r="K561" s="11"/>
      <c r="L561" s="15"/>
      <c r="M561" s="15"/>
      <c r="N561" s="15"/>
      <c r="O561" s="15"/>
      <c r="P561" s="15"/>
      <c r="Q561" s="11"/>
      <c r="R561" s="11"/>
      <c r="S561" s="11"/>
      <c r="T561" s="11"/>
      <c r="U561" s="15"/>
      <c r="V561" s="11"/>
      <c r="W561" s="11"/>
      <c r="X561" s="11"/>
      <c r="Y561" s="11"/>
      <c r="Z561" s="11"/>
    </row>
    <row r="562">
      <c r="A562" s="18"/>
      <c r="B562" s="11"/>
      <c r="C562" s="11"/>
      <c r="D562" s="11"/>
      <c r="E562" s="11"/>
      <c r="F562" s="11"/>
      <c r="G562" s="11"/>
      <c r="H562" s="11"/>
      <c r="I562" s="11"/>
      <c r="J562" s="11"/>
      <c r="K562" s="11"/>
      <c r="L562" s="15"/>
      <c r="M562" s="15"/>
      <c r="N562" s="15"/>
      <c r="O562" s="15"/>
      <c r="P562" s="15"/>
      <c r="Q562" s="11"/>
      <c r="R562" s="11"/>
      <c r="S562" s="11"/>
      <c r="T562" s="11"/>
      <c r="U562" s="15"/>
      <c r="V562" s="11"/>
      <c r="W562" s="11"/>
      <c r="X562" s="11"/>
      <c r="Y562" s="11"/>
      <c r="Z562" s="11"/>
    </row>
    <row r="563">
      <c r="A563" s="18"/>
      <c r="B563" s="11"/>
      <c r="C563" s="11"/>
      <c r="D563" s="11"/>
      <c r="E563" s="11"/>
      <c r="F563" s="11"/>
      <c r="G563" s="11"/>
      <c r="H563" s="11"/>
      <c r="I563" s="11"/>
      <c r="J563" s="11"/>
      <c r="K563" s="11"/>
      <c r="L563" s="15"/>
      <c r="M563" s="15"/>
      <c r="N563" s="15"/>
      <c r="O563" s="15"/>
      <c r="P563" s="15"/>
      <c r="Q563" s="11"/>
      <c r="R563" s="11"/>
      <c r="S563" s="11"/>
      <c r="T563" s="11"/>
      <c r="U563" s="15"/>
      <c r="V563" s="11"/>
      <c r="W563" s="11"/>
      <c r="X563" s="11"/>
      <c r="Y563" s="11"/>
      <c r="Z563" s="11"/>
    </row>
    <row r="564">
      <c r="A564" s="18"/>
      <c r="B564" s="11"/>
      <c r="C564" s="11"/>
      <c r="D564" s="11"/>
      <c r="E564" s="11"/>
      <c r="F564" s="11"/>
      <c r="G564" s="11"/>
      <c r="H564" s="11"/>
      <c r="I564" s="11"/>
      <c r="J564" s="11"/>
      <c r="K564" s="11"/>
      <c r="L564" s="15"/>
      <c r="M564" s="15"/>
      <c r="N564" s="15"/>
      <c r="O564" s="15"/>
      <c r="P564" s="15"/>
      <c r="Q564" s="11"/>
      <c r="R564" s="11"/>
      <c r="S564" s="11"/>
      <c r="T564" s="11"/>
      <c r="U564" s="15"/>
      <c r="V564" s="11"/>
      <c r="W564" s="11"/>
      <c r="X564" s="11"/>
      <c r="Y564" s="11"/>
      <c r="Z564" s="11"/>
    </row>
    <row r="565">
      <c r="A565" s="18"/>
      <c r="B565" s="11"/>
      <c r="C565" s="11"/>
      <c r="D565" s="11"/>
      <c r="E565" s="11"/>
      <c r="F565" s="11"/>
      <c r="G565" s="11"/>
      <c r="H565" s="11"/>
      <c r="I565" s="11"/>
      <c r="J565" s="11"/>
      <c r="K565" s="11"/>
      <c r="L565" s="15"/>
      <c r="M565" s="15"/>
      <c r="N565" s="15"/>
      <c r="O565" s="15"/>
      <c r="P565" s="15"/>
      <c r="Q565" s="11"/>
      <c r="R565" s="11"/>
      <c r="S565" s="11"/>
      <c r="T565" s="11"/>
      <c r="U565" s="15"/>
      <c r="V565" s="11"/>
      <c r="W565" s="11"/>
      <c r="X565" s="11"/>
      <c r="Y565" s="11"/>
      <c r="Z565" s="11"/>
    </row>
    <row r="566">
      <c r="A566" s="18"/>
      <c r="B566" s="11"/>
      <c r="C566" s="11"/>
      <c r="D566" s="11"/>
      <c r="E566" s="11"/>
      <c r="F566" s="11"/>
      <c r="G566" s="11"/>
      <c r="H566" s="11"/>
      <c r="I566" s="11"/>
      <c r="J566" s="11"/>
      <c r="K566" s="11"/>
      <c r="L566" s="15"/>
      <c r="M566" s="15"/>
      <c r="N566" s="15"/>
      <c r="O566" s="15"/>
      <c r="P566" s="15"/>
      <c r="Q566" s="11"/>
      <c r="R566" s="11"/>
      <c r="S566" s="11"/>
      <c r="T566" s="11"/>
      <c r="U566" s="15"/>
      <c r="V566" s="11"/>
      <c r="W566" s="11"/>
      <c r="X566" s="11"/>
      <c r="Y566" s="11"/>
      <c r="Z566" s="11"/>
    </row>
    <row r="567">
      <c r="A567" s="18"/>
      <c r="B567" s="11"/>
      <c r="C567" s="11"/>
      <c r="D567" s="11"/>
      <c r="E567" s="11"/>
      <c r="F567" s="11"/>
      <c r="G567" s="11"/>
      <c r="H567" s="11"/>
      <c r="I567" s="11"/>
      <c r="J567" s="11"/>
      <c r="K567" s="11"/>
      <c r="L567" s="15"/>
      <c r="M567" s="15"/>
      <c r="N567" s="15"/>
      <c r="O567" s="15"/>
      <c r="P567" s="15"/>
      <c r="Q567" s="11"/>
      <c r="R567" s="11"/>
      <c r="S567" s="11"/>
      <c r="T567" s="11"/>
      <c r="U567" s="15"/>
      <c r="V567" s="11"/>
      <c r="W567" s="11"/>
      <c r="X567" s="11"/>
      <c r="Y567" s="11"/>
      <c r="Z567" s="11"/>
    </row>
    <row r="568">
      <c r="A568" s="18"/>
      <c r="B568" s="11"/>
      <c r="C568" s="11"/>
      <c r="D568" s="11"/>
      <c r="E568" s="11"/>
      <c r="F568" s="11"/>
      <c r="G568" s="11"/>
      <c r="H568" s="11"/>
      <c r="I568" s="11"/>
      <c r="J568" s="11"/>
      <c r="K568" s="11"/>
      <c r="L568" s="15"/>
      <c r="M568" s="15"/>
      <c r="N568" s="15"/>
      <c r="O568" s="15"/>
      <c r="P568" s="15"/>
      <c r="Q568" s="11"/>
      <c r="R568" s="11"/>
      <c r="S568" s="11"/>
      <c r="T568" s="11"/>
      <c r="U568" s="15"/>
      <c r="V568" s="11"/>
      <c r="W568" s="11"/>
      <c r="X568" s="11"/>
      <c r="Y568" s="11"/>
      <c r="Z568" s="11"/>
    </row>
    <row r="569">
      <c r="A569" s="18"/>
      <c r="B569" s="11"/>
      <c r="C569" s="11"/>
      <c r="D569" s="11"/>
      <c r="E569" s="11"/>
      <c r="F569" s="11"/>
      <c r="G569" s="11"/>
      <c r="H569" s="11"/>
      <c r="I569" s="11"/>
      <c r="J569" s="11"/>
      <c r="K569" s="11"/>
      <c r="L569" s="15"/>
      <c r="M569" s="15"/>
      <c r="N569" s="15"/>
      <c r="O569" s="15"/>
      <c r="P569" s="15"/>
      <c r="Q569" s="11"/>
      <c r="R569" s="11"/>
      <c r="S569" s="11"/>
      <c r="T569" s="11"/>
      <c r="U569" s="15"/>
      <c r="V569" s="11"/>
      <c r="W569" s="11"/>
      <c r="X569" s="11"/>
      <c r="Y569" s="11"/>
      <c r="Z569" s="11"/>
    </row>
    <row r="570">
      <c r="A570" s="18"/>
      <c r="B570" s="11"/>
      <c r="C570" s="11"/>
      <c r="D570" s="11"/>
      <c r="E570" s="11"/>
      <c r="F570" s="11"/>
      <c r="G570" s="11"/>
      <c r="H570" s="11"/>
      <c r="I570" s="11"/>
      <c r="J570" s="11"/>
      <c r="K570" s="11"/>
      <c r="L570" s="15"/>
      <c r="M570" s="15"/>
      <c r="N570" s="15"/>
      <c r="O570" s="15"/>
      <c r="P570" s="15"/>
      <c r="Q570" s="11"/>
      <c r="R570" s="11"/>
      <c r="S570" s="11"/>
      <c r="T570" s="11"/>
      <c r="U570" s="15"/>
      <c r="V570" s="11"/>
      <c r="W570" s="11"/>
      <c r="X570" s="11"/>
      <c r="Y570" s="11"/>
      <c r="Z570" s="11"/>
    </row>
    <row r="571">
      <c r="A571" s="18"/>
      <c r="B571" s="11"/>
      <c r="C571" s="11"/>
      <c r="D571" s="11"/>
      <c r="E571" s="11"/>
      <c r="F571" s="11"/>
      <c r="G571" s="11"/>
      <c r="H571" s="11"/>
      <c r="I571" s="11"/>
      <c r="J571" s="11"/>
      <c r="K571" s="11"/>
      <c r="L571" s="15"/>
      <c r="M571" s="15"/>
      <c r="N571" s="15"/>
      <c r="O571" s="15"/>
      <c r="P571" s="15"/>
      <c r="Q571" s="11"/>
      <c r="R571" s="11"/>
      <c r="S571" s="11"/>
      <c r="T571" s="11"/>
      <c r="U571" s="15"/>
      <c r="V571" s="11"/>
      <c r="W571" s="11"/>
      <c r="X571" s="11"/>
      <c r="Y571" s="11"/>
      <c r="Z571" s="11"/>
    </row>
    <row r="572">
      <c r="A572" s="18"/>
      <c r="B572" s="11"/>
      <c r="C572" s="11"/>
      <c r="D572" s="11"/>
      <c r="E572" s="11"/>
      <c r="F572" s="11"/>
      <c r="G572" s="11"/>
      <c r="H572" s="11"/>
      <c r="I572" s="11"/>
      <c r="J572" s="11"/>
      <c r="K572" s="11"/>
      <c r="L572" s="15"/>
      <c r="M572" s="15"/>
      <c r="N572" s="15"/>
      <c r="O572" s="15"/>
      <c r="P572" s="15"/>
      <c r="Q572" s="11"/>
      <c r="R572" s="11"/>
      <c r="S572" s="11"/>
      <c r="T572" s="11"/>
      <c r="U572" s="15"/>
      <c r="V572" s="11"/>
      <c r="W572" s="11"/>
      <c r="X572" s="11"/>
      <c r="Y572" s="11"/>
      <c r="Z572" s="11"/>
    </row>
    <row r="573">
      <c r="A573" s="18"/>
      <c r="B573" s="11"/>
      <c r="C573" s="11"/>
      <c r="D573" s="11"/>
      <c r="E573" s="11"/>
      <c r="F573" s="11"/>
      <c r="G573" s="11"/>
      <c r="H573" s="11"/>
      <c r="I573" s="11"/>
      <c r="J573" s="11"/>
      <c r="K573" s="11"/>
      <c r="L573" s="15"/>
      <c r="M573" s="15"/>
      <c r="N573" s="15"/>
      <c r="O573" s="15"/>
      <c r="P573" s="15"/>
      <c r="Q573" s="11"/>
      <c r="R573" s="11"/>
      <c r="S573" s="11"/>
      <c r="T573" s="11"/>
      <c r="U573" s="15"/>
      <c r="V573" s="11"/>
      <c r="W573" s="11"/>
      <c r="X573" s="11"/>
      <c r="Y573" s="11"/>
      <c r="Z573" s="11"/>
    </row>
    <row r="574">
      <c r="A574" s="18"/>
      <c r="B574" s="11"/>
      <c r="C574" s="11"/>
      <c r="D574" s="11"/>
      <c r="E574" s="11"/>
      <c r="F574" s="11"/>
      <c r="G574" s="11"/>
      <c r="H574" s="11"/>
      <c r="I574" s="11"/>
      <c r="J574" s="11"/>
      <c r="K574" s="11"/>
      <c r="L574" s="15"/>
      <c r="M574" s="15"/>
      <c r="N574" s="15"/>
      <c r="O574" s="15"/>
      <c r="P574" s="15"/>
      <c r="Q574" s="11"/>
      <c r="R574" s="11"/>
      <c r="S574" s="11"/>
      <c r="T574" s="11"/>
      <c r="U574" s="15"/>
      <c r="V574" s="11"/>
      <c r="W574" s="11"/>
      <c r="X574" s="11"/>
      <c r="Y574" s="11"/>
      <c r="Z574" s="11"/>
    </row>
    <row r="575">
      <c r="A575" s="18"/>
      <c r="B575" s="11"/>
      <c r="C575" s="11"/>
      <c r="D575" s="11"/>
      <c r="E575" s="11"/>
      <c r="F575" s="11"/>
      <c r="G575" s="11"/>
      <c r="H575" s="11"/>
      <c r="I575" s="11"/>
      <c r="J575" s="11"/>
      <c r="K575" s="11"/>
      <c r="L575" s="15"/>
      <c r="M575" s="15"/>
      <c r="N575" s="15"/>
      <c r="O575" s="15"/>
      <c r="P575" s="15"/>
      <c r="Q575" s="11"/>
      <c r="R575" s="11"/>
      <c r="S575" s="11"/>
      <c r="T575" s="11"/>
      <c r="U575" s="15"/>
      <c r="V575" s="11"/>
      <c r="W575" s="11"/>
      <c r="X575" s="11"/>
      <c r="Y575" s="11"/>
      <c r="Z575" s="11"/>
    </row>
    <row r="576">
      <c r="A576" s="18"/>
      <c r="B576" s="11"/>
      <c r="C576" s="11"/>
      <c r="D576" s="11"/>
      <c r="E576" s="11"/>
      <c r="F576" s="11"/>
      <c r="G576" s="11"/>
      <c r="H576" s="11"/>
      <c r="I576" s="11"/>
      <c r="J576" s="11"/>
      <c r="K576" s="11"/>
      <c r="L576" s="15"/>
      <c r="M576" s="15"/>
      <c r="N576" s="15"/>
      <c r="O576" s="15"/>
      <c r="P576" s="15"/>
      <c r="Q576" s="11"/>
      <c r="R576" s="11"/>
      <c r="S576" s="11"/>
      <c r="T576" s="11"/>
      <c r="U576" s="15"/>
      <c r="V576" s="11"/>
      <c r="W576" s="11"/>
      <c r="X576" s="11"/>
      <c r="Y576" s="11"/>
      <c r="Z576" s="11"/>
    </row>
    <row r="577">
      <c r="A577" s="18"/>
      <c r="B577" s="11"/>
      <c r="C577" s="11"/>
      <c r="D577" s="11"/>
      <c r="E577" s="11"/>
      <c r="F577" s="11"/>
      <c r="G577" s="11"/>
      <c r="H577" s="11"/>
      <c r="I577" s="11"/>
      <c r="J577" s="11"/>
      <c r="K577" s="11"/>
      <c r="L577" s="15"/>
      <c r="M577" s="15"/>
      <c r="N577" s="15"/>
      <c r="O577" s="15"/>
      <c r="P577" s="15"/>
      <c r="Q577" s="11"/>
      <c r="R577" s="11"/>
      <c r="S577" s="11"/>
      <c r="T577" s="11"/>
      <c r="U577" s="15"/>
      <c r="V577" s="11"/>
      <c r="W577" s="11"/>
      <c r="X577" s="11"/>
      <c r="Y577" s="11"/>
      <c r="Z577" s="11"/>
    </row>
    <row r="578">
      <c r="A578" s="18"/>
      <c r="B578" s="11"/>
      <c r="C578" s="11"/>
      <c r="D578" s="11"/>
      <c r="E578" s="11"/>
      <c r="F578" s="11"/>
      <c r="G578" s="11"/>
      <c r="H578" s="11"/>
      <c r="I578" s="11"/>
      <c r="J578" s="11"/>
      <c r="K578" s="11"/>
      <c r="L578" s="15"/>
      <c r="M578" s="15"/>
      <c r="N578" s="15"/>
      <c r="O578" s="15"/>
      <c r="P578" s="15"/>
      <c r="Q578" s="11"/>
      <c r="R578" s="11"/>
      <c r="S578" s="11"/>
      <c r="T578" s="11"/>
      <c r="U578" s="15"/>
      <c r="V578" s="11"/>
      <c r="W578" s="11"/>
      <c r="X578" s="11"/>
      <c r="Y578" s="11"/>
      <c r="Z578" s="11"/>
    </row>
    <row r="579">
      <c r="A579" s="18"/>
      <c r="B579" s="11"/>
      <c r="C579" s="11"/>
      <c r="D579" s="11"/>
      <c r="E579" s="11"/>
      <c r="F579" s="11"/>
      <c r="G579" s="11"/>
      <c r="H579" s="11"/>
      <c r="I579" s="11"/>
      <c r="J579" s="11"/>
      <c r="K579" s="11"/>
      <c r="L579" s="15"/>
      <c r="M579" s="15"/>
      <c r="N579" s="15"/>
      <c r="O579" s="15"/>
      <c r="P579" s="15"/>
      <c r="Q579" s="11"/>
      <c r="R579" s="11"/>
      <c r="S579" s="11"/>
      <c r="T579" s="11"/>
      <c r="U579" s="15"/>
      <c r="V579" s="11"/>
      <c r="W579" s="11"/>
      <c r="X579" s="11"/>
      <c r="Y579" s="11"/>
      <c r="Z579" s="11"/>
    </row>
    <row r="580">
      <c r="A580" s="18"/>
      <c r="B580" s="11"/>
      <c r="C580" s="11"/>
      <c r="D580" s="11"/>
      <c r="E580" s="11"/>
      <c r="F580" s="11"/>
      <c r="G580" s="11"/>
      <c r="H580" s="11"/>
      <c r="I580" s="11"/>
      <c r="J580" s="11"/>
      <c r="K580" s="11"/>
      <c r="L580" s="15"/>
      <c r="M580" s="15"/>
      <c r="N580" s="15"/>
      <c r="O580" s="15"/>
      <c r="P580" s="15"/>
      <c r="Q580" s="11"/>
      <c r="R580" s="11"/>
      <c r="S580" s="11"/>
      <c r="T580" s="11"/>
      <c r="U580" s="15"/>
      <c r="V580" s="11"/>
      <c r="W580" s="11"/>
      <c r="X580" s="11"/>
      <c r="Y580" s="11"/>
      <c r="Z580" s="11"/>
    </row>
    <row r="581">
      <c r="A581" s="18"/>
      <c r="B581" s="11"/>
      <c r="C581" s="11"/>
      <c r="D581" s="11"/>
      <c r="E581" s="11"/>
      <c r="F581" s="11"/>
      <c r="G581" s="11"/>
      <c r="H581" s="11"/>
      <c r="I581" s="11"/>
      <c r="J581" s="11"/>
      <c r="K581" s="11"/>
      <c r="L581" s="15"/>
      <c r="M581" s="15"/>
      <c r="N581" s="15"/>
      <c r="O581" s="15"/>
      <c r="P581" s="15"/>
      <c r="Q581" s="11"/>
      <c r="R581" s="11"/>
      <c r="S581" s="11"/>
      <c r="T581" s="11"/>
      <c r="U581" s="15"/>
      <c r="V581" s="11"/>
      <c r="W581" s="11"/>
      <c r="X581" s="11"/>
      <c r="Y581" s="11"/>
      <c r="Z581" s="11"/>
    </row>
    <row r="582">
      <c r="A582" s="18"/>
      <c r="B582" s="11"/>
      <c r="C582" s="11"/>
      <c r="D582" s="11"/>
      <c r="E582" s="11"/>
      <c r="F582" s="11"/>
      <c r="G582" s="11"/>
      <c r="H582" s="11"/>
      <c r="I582" s="11"/>
      <c r="J582" s="11"/>
      <c r="K582" s="11"/>
      <c r="L582" s="15"/>
      <c r="M582" s="15"/>
      <c r="N582" s="15"/>
      <c r="O582" s="15"/>
      <c r="P582" s="15"/>
      <c r="Q582" s="11"/>
      <c r="R582" s="11"/>
      <c r="S582" s="11"/>
      <c r="T582" s="11"/>
      <c r="U582" s="15"/>
      <c r="V582" s="11"/>
      <c r="W582" s="11"/>
      <c r="X582" s="11"/>
      <c r="Y582" s="11"/>
      <c r="Z582" s="11"/>
    </row>
    <row r="583">
      <c r="A583" s="18"/>
      <c r="B583" s="11"/>
      <c r="C583" s="11"/>
      <c r="D583" s="11"/>
      <c r="E583" s="11"/>
      <c r="F583" s="11"/>
      <c r="G583" s="11"/>
      <c r="H583" s="11"/>
      <c r="I583" s="11"/>
      <c r="J583" s="11"/>
      <c r="K583" s="11"/>
      <c r="L583" s="15"/>
      <c r="M583" s="15"/>
      <c r="N583" s="15"/>
      <c r="O583" s="15"/>
      <c r="P583" s="15"/>
      <c r="Q583" s="11"/>
      <c r="R583" s="11"/>
      <c r="S583" s="11"/>
      <c r="T583" s="11"/>
      <c r="U583" s="15"/>
      <c r="V583" s="11"/>
      <c r="W583" s="11"/>
      <c r="X583" s="11"/>
      <c r="Y583" s="11"/>
      <c r="Z583" s="11"/>
    </row>
    <row r="584">
      <c r="A584" s="18"/>
      <c r="B584" s="11"/>
      <c r="C584" s="11"/>
      <c r="D584" s="11"/>
      <c r="E584" s="11"/>
      <c r="F584" s="11"/>
      <c r="G584" s="11"/>
      <c r="H584" s="11"/>
      <c r="I584" s="11"/>
      <c r="J584" s="11"/>
      <c r="K584" s="11"/>
      <c r="L584" s="15"/>
      <c r="M584" s="15"/>
      <c r="N584" s="15"/>
      <c r="O584" s="15"/>
      <c r="P584" s="15"/>
      <c r="Q584" s="11"/>
      <c r="R584" s="11"/>
      <c r="S584" s="11"/>
      <c r="T584" s="11"/>
      <c r="U584" s="15"/>
      <c r="V584" s="11"/>
      <c r="W584" s="11"/>
      <c r="X584" s="11"/>
      <c r="Y584" s="11"/>
      <c r="Z584" s="11"/>
    </row>
    <row r="585">
      <c r="A585" s="18"/>
      <c r="B585" s="11"/>
      <c r="C585" s="11"/>
      <c r="D585" s="11"/>
      <c r="E585" s="11"/>
      <c r="F585" s="11"/>
      <c r="G585" s="11"/>
      <c r="H585" s="11"/>
      <c r="I585" s="11"/>
      <c r="J585" s="11"/>
      <c r="K585" s="11"/>
      <c r="L585" s="15"/>
      <c r="M585" s="15"/>
      <c r="N585" s="15"/>
      <c r="O585" s="15"/>
      <c r="P585" s="15"/>
      <c r="Q585" s="11"/>
      <c r="R585" s="11"/>
      <c r="S585" s="11"/>
      <c r="T585" s="11"/>
      <c r="U585" s="15"/>
      <c r="V585" s="11"/>
      <c r="W585" s="11"/>
      <c r="X585" s="11"/>
      <c r="Y585" s="11"/>
      <c r="Z585" s="11"/>
    </row>
    <row r="586">
      <c r="A586" s="18"/>
      <c r="B586" s="11"/>
      <c r="C586" s="11"/>
      <c r="D586" s="11"/>
      <c r="E586" s="11"/>
      <c r="F586" s="11"/>
      <c r="G586" s="11"/>
      <c r="H586" s="11"/>
      <c r="I586" s="11"/>
      <c r="J586" s="11"/>
      <c r="K586" s="11"/>
      <c r="L586" s="15"/>
      <c r="M586" s="15"/>
      <c r="N586" s="15"/>
      <c r="O586" s="15"/>
      <c r="P586" s="15"/>
      <c r="Q586" s="11"/>
      <c r="R586" s="11"/>
      <c r="S586" s="11"/>
      <c r="T586" s="11"/>
      <c r="U586" s="15"/>
      <c r="V586" s="11"/>
      <c r="W586" s="11"/>
      <c r="X586" s="11"/>
      <c r="Y586" s="11"/>
      <c r="Z586" s="11"/>
    </row>
    <row r="587">
      <c r="A587" s="18"/>
      <c r="B587" s="11"/>
      <c r="C587" s="11"/>
      <c r="D587" s="11"/>
      <c r="E587" s="11"/>
      <c r="F587" s="11"/>
      <c r="G587" s="11"/>
      <c r="H587" s="11"/>
      <c r="I587" s="11"/>
      <c r="J587" s="11"/>
      <c r="K587" s="11"/>
      <c r="L587" s="15"/>
      <c r="M587" s="15"/>
      <c r="N587" s="15"/>
      <c r="O587" s="15"/>
      <c r="P587" s="15"/>
      <c r="Q587" s="11"/>
      <c r="R587" s="11"/>
      <c r="S587" s="11"/>
      <c r="T587" s="11"/>
      <c r="U587" s="15"/>
      <c r="V587" s="11"/>
      <c r="W587" s="11"/>
      <c r="X587" s="11"/>
      <c r="Y587" s="11"/>
      <c r="Z587" s="11"/>
    </row>
    <row r="588">
      <c r="A588" s="18"/>
      <c r="B588" s="11"/>
      <c r="C588" s="11"/>
      <c r="D588" s="11"/>
      <c r="E588" s="11"/>
      <c r="F588" s="11"/>
      <c r="G588" s="11"/>
      <c r="H588" s="11"/>
      <c r="I588" s="11"/>
      <c r="J588" s="11"/>
      <c r="K588" s="11"/>
      <c r="L588" s="15"/>
      <c r="M588" s="15"/>
      <c r="N588" s="15"/>
      <c r="O588" s="15"/>
      <c r="P588" s="15"/>
      <c r="Q588" s="11"/>
      <c r="R588" s="11"/>
      <c r="S588" s="11"/>
      <c r="T588" s="11"/>
      <c r="U588" s="15"/>
      <c r="V588" s="11"/>
      <c r="W588" s="11"/>
      <c r="X588" s="11"/>
      <c r="Y588" s="11"/>
      <c r="Z588" s="11"/>
    </row>
    <row r="589">
      <c r="A589" s="18"/>
      <c r="B589" s="11"/>
      <c r="C589" s="11"/>
      <c r="D589" s="11"/>
      <c r="E589" s="11"/>
      <c r="F589" s="11"/>
      <c r="G589" s="11"/>
      <c r="H589" s="11"/>
      <c r="I589" s="11"/>
      <c r="J589" s="11"/>
      <c r="K589" s="11"/>
      <c r="L589" s="15"/>
      <c r="M589" s="15"/>
      <c r="N589" s="15"/>
      <c r="O589" s="15"/>
      <c r="P589" s="15"/>
      <c r="Q589" s="11"/>
      <c r="R589" s="11"/>
      <c r="S589" s="11"/>
      <c r="T589" s="11"/>
      <c r="U589" s="15"/>
      <c r="V589" s="11"/>
      <c r="W589" s="11"/>
      <c r="X589" s="11"/>
      <c r="Y589" s="11"/>
      <c r="Z589" s="11"/>
    </row>
    <row r="590">
      <c r="A590" s="18"/>
      <c r="B590" s="11"/>
      <c r="C590" s="11"/>
      <c r="D590" s="11"/>
      <c r="E590" s="11"/>
      <c r="F590" s="11"/>
      <c r="G590" s="11"/>
      <c r="H590" s="11"/>
      <c r="I590" s="11"/>
      <c r="J590" s="11"/>
      <c r="K590" s="11"/>
      <c r="L590" s="15"/>
      <c r="M590" s="15"/>
      <c r="N590" s="15"/>
      <c r="O590" s="15"/>
      <c r="P590" s="15"/>
      <c r="Q590" s="11"/>
      <c r="R590" s="11"/>
      <c r="S590" s="11"/>
      <c r="T590" s="11"/>
      <c r="U590" s="15"/>
      <c r="V590" s="11"/>
      <c r="W590" s="11"/>
      <c r="X590" s="11"/>
      <c r="Y590" s="11"/>
      <c r="Z590" s="11"/>
    </row>
    <row r="591">
      <c r="A591" s="18"/>
      <c r="B591" s="11"/>
      <c r="C591" s="11"/>
      <c r="D591" s="11"/>
      <c r="E591" s="11"/>
      <c r="F591" s="11"/>
      <c r="G591" s="11"/>
      <c r="H591" s="11"/>
      <c r="I591" s="11"/>
      <c r="J591" s="11"/>
      <c r="K591" s="11"/>
      <c r="L591" s="15"/>
      <c r="M591" s="15"/>
      <c r="N591" s="15"/>
      <c r="O591" s="15"/>
      <c r="P591" s="15"/>
      <c r="Q591" s="11"/>
      <c r="R591" s="11"/>
      <c r="S591" s="11"/>
      <c r="T591" s="11"/>
      <c r="U591" s="15"/>
      <c r="V591" s="11"/>
      <c r="W591" s="11"/>
      <c r="X591" s="11"/>
      <c r="Y591" s="11"/>
      <c r="Z591" s="11"/>
    </row>
    <row r="592">
      <c r="A592" s="18"/>
      <c r="B592" s="11"/>
      <c r="C592" s="11"/>
      <c r="D592" s="11"/>
      <c r="E592" s="11"/>
      <c r="F592" s="11"/>
      <c r="G592" s="11"/>
      <c r="H592" s="11"/>
      <c r="I592" s="11"/>
      <c r="J592" s="11"/>
      <c r="K592" s="11"/>
      <c r="L592" s="15"/>
      <c r="M592" s="15"/>
      <c r="N592" s="15"/>
      <c r="O592" s="15"/>
      <c r="P592" s="15"/>
      <c r="Q592" s="11"/>
      <c r="R592" s="11"/>
      <c r="S592" s="11"/>
      <c r="T592" s="11"/>
      <c r="U592" s="15"/>
      <c r="V592" s="11"/>
      <c r="W592" s="11"/>
      <c r="X592" s="11"/>
      <c r="Y592" s="11"/>
      <c r="Z592" s="11"/>
    </row>
    <row r="593">
      <c r="A593" s="18"/>
      <c r="B593" s="11"/>
      <c r="C593" s="11"/>
      <c r="D593" s="11"/>
      <c r="E593" s="11"/>
      <c r="F593" s="11"/>
      <c r="G593" s="11"/>
      <c r="H593" s="11"/>
      <c r="I593" s="11"/>
      <c r="J593" s="11"/>
      <c r="K593" s="11"/>
      <c r="L593" s="15"/>
      <c r="M593" s="15"/>
      <c r="N593" s="15"/>
      <c r="O593" s="15"/>
      <c r="P593" s="15"/>
      <c r="Q593" s="11"/>
      <c r="R593" s="11"/>
      <c r="S593" s="11"/>
      <c r="T593" s="11"/>
      <c r="U593" s="15"/>
      <c r="V593" s="11"/>
      <c r="W593" s="11"/>
      <c r="X593" s="11"/>
      <c r="Y593" s="11"/>
      <c r="Z593" s="11"/>
    </row>
    <row r="594">
      <c r="A594" s="18"/>
      <c r="B594" s="11"/>
      <c r="C594" s="11"/>
      <c r="D594" s="11"/>
      <c r="E594" s="11"/>
      <c r="F594" s="11"/>
      <c r="G594" s="11"/>
      <c r="H594" s="11"/>
      <c r="I594" s="11"/>
      <c r="J594" s="11"/>
      <c r="K594" s="11"/>
      <c r="L594" s="15"/>
      <c r="M594" s="15"/>
      <c r="N594" s="15"/>
      <c r="O594" s="15"/>
      <c r="P594" s="15"/>
      <c r="Q594" s="11"/>
      <c r="R594" s="11"/>
      <c r="S594" s="11"/>
      <c r="T594" s="11"/>
      <c r="U594" s="15"/>
      <c r="V594" s="11"/>
      <c r="W594" s="11"/>
      <c r="X594" s="11"/>
      <c r="Y594" s="11"/>
      <c r="Z594" s="11"/>
    </row>
    <row r="595">
      <c r="A595" s="18"/>
      <c r="B595" s="11"/>
      <c r="C595" s="11"/>
      <c r="D595" s="11"/>
      <c r="E595" s="11"/>
      <c r="F595" s="11"/>
      <c r="G595" s="11"/>
      <c r="H595" s="11"/>
      <c r="I595" s="11"/>
      <c r="J595" s="11"/>
      <c r="K595" s="11"/>
      <c r="L595" s="15"/>
      <c r="M595" s="15"/>
      <c r="N595" s="15"/>
      <c r="O595" s="15"/>
      <c r="P595" s="15"/>
      <c r="Q595" s="11"/>
      <c r="R595" s="11"/>
      <c r="S595" s="11"/>
      <c r="T595" s="11"/>
      <c r="U595" s="15"/>
      <c r="V595" s="11"/>
      <c r="W595" s="11"/>
      <c r="X595" s="11"/>
      <c r="Y595" s="11"/>
      <c r="Z595" s="11"/>
    </row>
    <row r="596">
      <c r="A596" s="18"/>
      <c r="B596" s="11"/>
      <c r="C596" s="11"/>
      <c r="D596" s="11"/>
      <c r="E596" s="11"/>
      <c r="F596" s="11"/>
      <c r="G596" s="11"/>
      <c r="H596" s="11"/>
      <c r="I596" s="11"/>
      <c r="J596" s="11"/>
      <c r="K596" s="11"/>
      <c r="L596" s="15"/>
      <c r="M596" s="15"/>
      <c r="N596" s="15"/>
      <c r="O596" s="15"/>
      <c r="P596" s="15"/>
      <c r="Q596" s="11"/>
      <c r="R596" s="11"/>
      <c r="S596" s="11"/>
      <c r="T596" s="11"/>
      <c r="U596" s="15"/>
      <c r="V596" s="11"/>
      <c r="W596" s="11"/>
      <c r="X596" s="11"/>
      <c r="Y596" s="11"/>
      <c r="Z596" s="11"/>
    </row>
    <row r="597">
      <c r="A597" s="18"/>
      <c r="B597" s="11"/>
      <c r="C597" s="11"/>
      <c r="D597" s="11"/>
      <c r="E597" s="11"/>
      <c r="F597" s="11"/>
      <c r="G597" s="11"/>
      <c r="H597" s="11"/>
      <c r="I597" s="11"/>
      <c r="J597" s="11"/>
      <c r="K597" s="11"/>
      <c r="L597" s="15"/>
      <c r="M597" s="15"/>
      <c r="N597" s="15"/>
      <c r="O597" s="15"/>
      <c r="P597" s="15"/>
      <c r="Q597" s="11"/>
      <c r="R597" s="11"/>
      <c r="S597" s="11"/>
      <c r="T597" s="11"/>
      <c r="U597" s="15"/>
      <c r="V597" s="11"/>
      <c r="W597" s="11"/>
      <c r="X597" s="11"/>
      <c r="Y597" s="11"/>
      <c r="Z597" s="11"/>
    </row>
    <row r="598">
      <c r="A598" s="18"/>
      <c r="B598" s="11"/>
      <c r="C598" s="11"/>
      <c r="D598" s="11"/>
      <c r="E598" s="11"/>
      <c r="F598" s="11"/>
      <c r="G598" s="11"/>
      <c r="H598" s="11"/>
      <c r="I598" s="11"/>
      <c r="J598" s="11"/>
      <c r="K598" s="11"/>
      <c r="L598" s="15"/>
      <c r="M598" s="15"/>
      <c r="N598" s="15"/>
      <c r="O598" s="15"/>
      <c r="P598" s="15"/>
      <c r="Q598" s="11"/>
      <c r="R598" s="11"/>
      <c r="S598" s="11"/>
      <c r="T598" s="11"/>
      <c r="U598" s="15"/>
      <c r="V598" s="11"/>
      <c r="W598" s="11"/>
      <c r="X598" s="11"/>
      <c r="Y598" s="11"/>
      <c r="Z598" s="11"/>
    </row>
    <row r="599">
      <c r="A599" s="18"/>
      <c r="B599" s="11"/>
      <c r="C599" s="11"/>
      <c r="D599" s="11"/>
      <c r="E599" s="11"/>
      <c r="F599" s="11"/>
      <c r="G599" s="11"/>
      <c r="H599" s="11"/>
      <c r="I599" s="11"/>
      <c r="J599" s="11"/>
      <c r="K599" s="11"/>
      <c r="L599" s="15"/>
      <c r="M599" s="15"/>
      <c r="N599" s="15"/>
      <c r="O599" s="15"/>
      <c r="P599" s="15"/>
      <c r="Q599" s="11"/>
      <c r="R599" s="11"/>
      <c r="S599" s="11"/>
      <c r="T599" s="11"/>
      <c r="U599" s="15"/>
      <c r="V599" s="11"/>
      <c r="W599" s="11"/>
      <c r="X599" s="11"/>
      <c r="Y599" s="11"/>
      <c r="Z599" s="11"/>
    </row>
    <row r="600">
      <c r="A600" s="18"/>
      <c r="B600" s="11"/>
      <c r="C600" s="11"/>
      <c r="D600" s="11"/>
      <c r="E600" s="11"/>
      <c r="F600" s="11"/>
      <c r="G600" s="11"/>
      <c r="H600" s="11"/>
      <c r="I600" s="11"/>
      <c r="J600" s="11"/>
      <c r="K600" s="11"/>
      <c r="L600" s="15"/>
      <c r="M600" s="15"/>
      <c r="N600" s="15"/>
      <c r="O600" s="15"/>
      <c r="P600" s="15"/>
      <c r="Q600" s="11"/>
      <c r="R600" s="11"/>
      <c r="S600" s="11"/>
      <c r="T600" s="11"/>
      <c r="U600" s="15"/>
      <c r="V600" s="11"/>
      <c r="W600" s="11"/>
      <c r="X600" s="11"/>
      <c r="Y600" s="11"/>
      <c r="Z600" s="11"/>
    </row>
    <row r="601">
      <c r="A601" s="18"/>
      <c r="B601" s="11"/>
      <c r="C601" s="11"/>
      <c r="D601" s="11"/>
      <c r="E601" s="11"/>
      <c r="F601" s="11"/>
      <c r="G601" s="11"/>
      <c r="H601" s="11"/>
      <c r="I601" s="11"/>
      <c r="J601" s="11"/>
      <c r="K601" s="11"/>
      <c r="L601" s="15"/>
      <c r="M601" s="15"/>
      <c r="N601" s="15"/>
      <c r="O601" s="15"/>
      <c r="P601" s="15"/>
      <c r="Q601" s="11"/>
      <c r="R601" s="11"/>
      <c r="S601" s="11"/>
      <c r="T601" s="11"/>
      <c r="U601" s="15"/>
      <c r="V601" s="11"/>
      <c r="W601" s="11"/>
      <c r="X601" s="11"/>
      <c r="Y601" s="11"/>
      <c r="Z601" s="11"/>
    </row>
    <row r="602">
      <c r="A602" s="18"/>
      <c r="B602" s="11"/>
      <c r="C602" s="11"/>
      <c r="D602" s="11"/>
      <c r="E602" s="11"/>
      <c r="F602" s="11"/>
      <c r="G602" s="11"/>
      <c r="H602" s="11"/>
      <c r="I602" s="11"/>
      <c r="J602" s="11"/>
      <c r="K602" s="11"/>
      <c r="L602" s="15"/>
      <c r="M602" s="15"/>
      <c r="N602" s="15"/>
      <c r="O602" s="15"/>
      <c r="P602" s="15"/>
      <c r="Q602" s="11"/>
      <c r="R602" s="11"/>
      <c r="S602" s="11"/>
      <c r="T602" s="11"/>
      <c r="U602" s="15"/>
      <c r="V602" s="11"/>
      <c r="W602" s="11"/>
      <c r="X602" s="11"/>
      <c r="Y602" s="11"/>
      <c r="Z602" s="11"/>
    </row>
    <row r="603">
      <c r="A603" s="18"/>
      <c r="B603" s="11"/>
      <c r="C603" s="11"/>
      <c r="D603" s="11"/>
      <c r="E603" s="11"/>
      <c r="F603" s="11"/>
      <c r="G603" s="11"/>
      <c r="H603" s="11"/>
      <c r="I603" s="11"/>
      <c r="J603" s="11"/>
      <c r="K603" s="11"/>
      <c r="L603" s="15"/>
      <c r="M603" s="15"/>
      <c r="N603" s="15"/>
      <c r="O603" s="15"/>
      <c r="P603" s="15"/>
      <c r="Q603" s="11"/>
      <c r="R603" s="11"/>
      <c r="S603" s="11"/>
      <c r="T603" s="11"/>
      <c r="U603" s="15"/>
      <c r="V603" s="11"/>
      <c r="W603" s="11"/>
      <c r="X603" s="11"/>
      <c r="Y603" s="11"/>
      <c r="Z603" s="11"/>
    </row>
    <row r="604">
      <c r="A604" s="18"/>
      <c r="B604" s="11"/>
      <c r="C604" s="11"/>
      <c r="D604" s="11"/>
      <c r="E604" s="11"/>
      <c r="F604" s="11"/>
      <c r="G604" s="11"/>
      <c r="H604" s="11"/>
      <c r="I604" s="11"/>
      <c r="J604" s="11"/>
      <c r="K604" s="11"/>
      <c r="L604" s="15"/>
      <c r="M604" s="15"/>
      <c r="N604" s="15"/>
      <c r="O604" s="15"/>
      <c r="P604" s="15"/>
      <c r="Q604" s="11"/>
      <c r="R604" s="11"/>
      <c r="S604" s="11"/>
      <c r="T604" s="11"/>
      <c r="U604" s="15"/>
      <c r="V604" s="11"/>
      <c r="W604" s="11"/>
      <c r="X604" s="11"/>
      <c r="Y604" s="11"/>
      <c r="Z604" s="11"/>
    </row>
    <row r="605">
      <c r="A605" s="18"/>
      <c r="B605" s="11"/>
      <c r="C605" s="11"/>
      <c r="D605" s="11"/>
      <c r="E605" s="11"/>
      <c r="F605" s="11"/>
      <c r="G605" s="11"/>
      <c r="H605" s="11"/>
      <c r="I605" s="11"/>
      <c r="J605" s="11"/>
      <c r="K605" s="11"/>
      <c r="L605" s="15"/>
      <c r="M605" s="15"/>
      <c r="N605" s="15"/>
      <c r="O605" s="15"/>
      <c r="P605" s="15"/>
      <c r="Q605" s="11"/>
      <c r="R605" s="11"/>
      <c r="S605" s="11"/>
      <c r="T605" s="11"/>
      <c r="U605" s="15"/>
      <c r="V605" s="11"/>
      <c r="W605" s="11"/>
      <c r="X605" s="11"/>
      <c r="Y605" s="11"/>
      <c r="Z605" s="11"/>
    </row>
    <row r="606">
      <c r="A606" s="18"/>
      <c r="B606" s="11"/>
      <c r="C606" s="11"/>
      <c r="D606" s="11"/>
      <c r="E606" s="11"/>
      <c r="F606" s="11"/>
      <c r="G606" s="11"/>
      <c r="H606" s="11"/>
      <c r="I606" s="11"/>
      <c r="J606" s="11"/>
      <c r="K606" s="11"/>
      <c r="L606" s="15"/>
      <c r="M606" s="15"/>
      <c r="N606" s="15"/>
      <c r="O606" s="15"/>
      <c r="P606" s="15"/>
      <c r="Q606" s="11"/>
      <c r="R606" s="11"/>
      <c r="S606" s="11"/>
      <c r="T606" s="11"/>
      <c r="U606" s="15"/>
      <c r="V606" s="11"/>
      <c r="W606" s="11"/>
      <c r="X606" s="11"/>
      <c r="Y606" s="11"/>
      <c r="Z606" s="11"/>
    </row>
    <row r="607">
      <c r="A607" s="18"/>
      <c r="B607" s="11"/>
      <c r="C607" s="11"/>
      <c r="D607" s="11"/>
      <c r="E607" s="11"/>
      <c r="F607" s="11"/>
      <c r="G607" s="11"/>
      <c r="H607" s="11"/>
      <c r="I607" s="11"/>
      <c r="J607" s="11"/>
      <c r="K607" s="11"/>
      <c r="L607" s="15"/>
      <c r="M607" s="15"/>
      <c r="N607" s="15"/>
      <c r="O607" s="15"/>
      <c r="P607" s="15"/>
      <c r="Q607" s="11"/>
      <c r="R607" s="11"/>
      <c r="S607" s="11"/>
      <c r="T607" s="11"/>
      <c r="U607" s="15"/>
      <c r="V607" s="11"/>
      <c r="W607" s="11"/>
      <c r="X607" s="11"/>
      <c r="Y607" s="11"/>
      <c r="Z607" s="11"/>
    </row>
    <row r="608">
      <c r="A608" s="18"/>
      <c r="B608" s="11"/>
      <c r="C608" s="11"/>
      <c r="D608" s="11"/>
      <c r="E608" s="11"/>
      <c r="F608" s="11"/>
      <c r="G608" s="11"/>
      <c r="H608" s="11"/>
      <c r="I608" s="11"/>
      <c r="J608" s="11"/>
      <c r="K608" s="11"/>
      <c r="L608" s="15"/>
      <c r="M608" s="15"/>
      <c r="N608" s="15"/>
      <c r="O608" s="15"/>
      <c r="P608" s="15"/>
      <c r="Q608" s="11"/>
      <c r="R608" s="11"/>
      <c r="S608" s="11"/>
      <c r="T608" s="11"/>
      <c r="U608" s="15"/>
      <c r="V608" s="11"/>
      <c r="W608" s="11"/>
      <c r="X608" s="11"/>
      <c r="Y608" s="11"/>
      <c r="Z608" s="11"/>
    </row>
    <row r="609">
      <c r="A609" s="18"/>
      <c r="B609" s="11"/>
      <c r="C609" s="11"/>
      <c r="D609" s="11"/>
      <c r="E609" s="11"/>
      <c r="F609" s="11"/>
      <c r="G609" s="11"/>
      <c r="H609" s="11"/>
      <c r="I609" s="11"/>
      <c r="J609" s="11"/>
      <c r="K609" s="11"/>
      <c r="L609" s="15"/>
      <c r="M609" s="15"/>
      <c r="N609" s="15"/>
      <c r="O609" s="15"/>
      <c r="P609" s="15"/>
      <c r="Q609" s="11"/>
      <c r="R609" s="11"/>
      <c r="S609" s="11"/>
      <c r="T609" s="11"/>
      <c r="U609" s="15"/>
      <c r="V609" s="11"/>
      <c r="W609" s="11"/>
      <c r="X609" s="11"/>
      <c r="Y609" s="11"/>
      <c r="Z609" s="11"/>
    </row>
    <row r="610">
      <c r="A610" s="18"/>
      <c r="B610" s="11"/>
      <c r="C610" s="11"/>
      <c r="D610" s="11"/>
      <c r="E610" s="11"/>
      <c r="F610" s="11"/>
      <c r="G610" s="11"/>
      <c r="H610" s="11"/>
      <c r="I610" s="11"/>
      <c r="J610" s="11"/>
      <c r="K610" s="11"/>
      <c r="L610" s="15"/>
      <c r="M610" s="15"/>
      <c r="N610" s="15"/>
      <c r="O610" s="15"/>
      <c r="P610" s="15"/>
      <c r="Q610" s="11"/>
      <c r="R610" s="11"/>
      <c r="S610" s="11"/>
      <c r="T610" s="11"/>
      <c r="U610" s="15"/>
      <c r="V610" s="11"/>
      <c r="W610" s="11"/>
      <c r="X610" s="11"/>
      <c r="Y610" s="11"/>
      <c r="Z610" s="11"/>
    </row>
    <row r="611">
      <c r="A611" s="18"/>
      <c r="B611" s="11"/>
      <c r="C611" s="11"/>
      <c r="D611" s="11"/>
      <c r="E611" s="11"/>
      <c r="F611" s="11"/>
      <c r="G611" s="11"/>
      <c r="H611" s="11"/>
      <c r="I611" s="11"/>
      <c r="J611" s="11"/>
      <c r="K611" s="11"/>
      <c r="L611" s="15"/>
      <c r="M611" s="15"/>
      <c r="N611" s="15"/>
      <c r="O611" s="15"/>
      <c r="P611" s="15"/>
      <c r="Q611" s="11"/>
      <c r="R611" s="11"/>
      <c r="S611" s="11"/>
      <c r="T611" s="11"/>
      <c r="U611" s="15"/>
      <c r="V611" s="11"/>
      <c r="W611" s="11"/>
      <c r="X611" s="11"/>
      <c r="Y611" s="11"/>
      <c r="Z611" s="11"/>
    </row>
    <row r="612">
      <c r="A612" s="18"/>
      <c r="B612" s="11"/>
      <c r="C612" s="11"/>
      <c r="D612" s="11"/>
      <c r="E612" s="11"/>
      <c r="F612" s="11"/>
      <c r="G612" s="11"/>
      <c r="H612" s="11"/>
      <c r="I612" s="11"/>
      <c r="J612" s="11"/>
      <c r="K612" s="11"/>
      <c r="L612" s="15"/>
      <c r="M612" s="15"/>
      <c r="N612" s="15"/>
      <c r="O612" s="15"/>
      <c r="P612" s="15"/>
      <c r="Q612" s="11"/>
      <c r="R612" s="11"/>
      <c r="S612" s="11"/>
      <c r="T612" s="11"/>
      <c r="U612" s="15"/>
      <c r="V612" s="11"/>
      <c r="W612" s="11"/>
      <c r="X612" s="11"/>
      <c r="Y612" s="11"/>
      <c r="Z612" s="11"/>
    </row>
    <row r="613">
      <c r="A613" s="18"/>
      <c r="B613" s="11"/>
      <c r="C613" s="11"/>
      <c r="D613" s="11"/>
      <c r="E613" s="11"/>
      <c r="F613" s="11"/>
      <c r="G613" s="11"/>
      <c r="H613" s="11"/>
      <c r="I613" s="11"/>
      <c r="J613" s="11"/>
      <c r="K613" s="11"/>
      <c r="L613" s="15"/>
      <c r="M613" s="15"/>
      <c r="N613" s="15"/>
      <c r="O613" s="15"/>
      <c r="P613" s="15"/>
      <c r="Q613" s="11"/>
      <c r="R613" s="11"/>
      <c r="S613" s="11"/>
      <c r="T613" s="11"/>
      <c r="U613" s="15"/>
      <c r="V613" s="11"/>
      <c r="W613" s="11"/>
      <c r="X613" s="11"/>
      <c r="Y613" s="11"/>
      <c r="Z613" s="11"/>
    </row>
    <row r="614">
      <c r="A614" s="18"/>
      <c r="B614" s="11"/>
      <c r="C614" s="11"/>
      <c r="D614" s="11"/>
      <c r="E614" s="11"/>
      <c r="F614" s="11"/>
      <c r="G614" s="11"/>
      <c r="H614" s="11"/>
      <c r="I614" s="11"/>
      <c r="J614" s="11"/>
      <c r="K614" s="11"/>
      <c r="L614" s="15"/>
      <c r="M614" s="15"/>
      <c r="N614" s="15"/>
      <c r="O614" s="15"/>
      <c r="P614" s="15"/>
      <c r="Q614" s="11"/>
      <c r="R614" s="11"/>
      <c r="S614" s="11"/>
      <c r="T614" s="11"/>
      <c r="U614" s="15"/>
      <c r="V614" s="11"/>
      <c r="W614" s="11"/>
      <c r="X614" s="11"/>
      <c r="Y614" s="11"/>
      <c r="Z614" s="11"/>
    </row>
    <row r="615">
      <c r="A615" s="18"/>
      <c r="B615" s="11"/>
      <c r="C615" s="11"/>
      <c r="D615" s="11"/>
      <c r="E615" s="11"/>
      <c r="F615" s="11"/>
      <c r="G615" s="11"/>
      <c r="H615" s="11"/>
      <c r="I615" s="11"/>
      <c r="J615" s="11"/>
      <c r="K615" s="11"/>
      <c r="L615" s="15"/>
      <c r="M615" s="15"/>
      <c r="N615" s="15"/>
      <c r="O615" s="15"/>
      <c r="P615" s="15"/>
      <c r="Q615" s="11"/>
      <c r="R615" s="11"/>
      <c r="S615" s="11"/>
      <c r="T615" s="11"/>
      <c r="U615" s="15"/>
      <c r="V615" s="11"/>
      <c r="W615" s="11"/>
      <c r="X615" s="11"/>
      <c r="Y615" s="11"/>
      <c r="Z615" s="11"/>
    </row>
    <row r="616">
      <c r="A616" s="18"/>
      <c r="B616" s="11"/>
      <c r="C616" s="11"/>
      <c r="D616" s="11"/>
      <c r="E616" s="11"/>
      <c r="F616" s="11"/>
      <c r="G616" s="11"/>
      <c r="H616" s="11"/>
      <c r="I616" s="11"/>
      <c r="J616" s="11"/>
      <c r="K616" s="11"/>
      <c r="L616" s="15"/>
      <c r="M616" s="15"/>
      <c r="N616" s="15"/>
      <c r="O616" s="15"/>
      <c r="P616" s="15"/>
      <c r="Q616" s="11"/>
      <c r="R616" s="11"/>
      <c r="S616" s="11"/>
      <c r="T616" s="11"/>
      <c r="U616" s="15"/>
      <c r="V616" s="11"/>
      <c r="W616" s="11"/>
      <c r="X616" s="11"/>
      <c r="Y616" s="11"/>
      <c r="Z616" s="11"/>
    </row>
    <row r="617">
      <c r="A617" s="18"/>
      <c r="B617" s="11"/>
      <c r="C617" s="11"/>
      <c r="D617" s="11"/>
      <c r="E617" s="11"/>
      <c r="F617" s="11"/>
      <c r="G617" s="11"/>
      <c r="H617" s="11"/>
      <c r="I617" s="11"/>
      <c r="J617" s="11"/>
      <c r="K617" s="11"/>
      <c r="L617" s="15"/>
      <c r="M617" s="15"/>
      <c r="N617" s="15"/>
      <c r="O617" s="15"/>
      <c r="P617" s="15"/>
      <c r="Q617" s="11"/>
      <c r="R617" s="11"/>
      <c r="S617" s="11"/>
      <c r="T617" s="11"/>
      <c r="U617" s="15"/>
      <c r="V617" s="11"/>
      <c r="W617" s="11"/>
      <c r="X617" s="11"/>
      <c r="Y617" s="11"/>
      <c r="Z617" s="11"/>
    </row>
    <row r="618">
      <c r="A618" s="18"/>
      <c r="B618" s="11"/>
      <c r="C618" s="11"/>
      <c r="D618" s="11"/>
      <c r="E618" s="11"/>
      <c r="F618" s="11"/>
      <c r="G618" s="11"/>
      <c r="H618" s="11"/>
      <c r="I618" s="11"/>
      <c r="J618" s="11"/>
      <c r="K618" s="11"/>
      <c r="L618" s="15"/>
      <c r="M618" s="15"/>
      <c r="N618" s="15"/>
      <c r="O618" s="15"/>
      <c r="P618" s="15"/>
      <c r="Q618" s="11"/>
      <c r="R618" s="11"/>
      <c r="S618" s="11"/>
      <c r="T618" s="11"/>
      <c r="U618" s="15"/>
      <c r="V618" s="11"/>
      <c r="W618" s="11"/>
      <c r="X618" s="11"/>
      <c r="Y618" s="11"/>
      <c r="Z618" s="11"/>
    </row>
    <row r="619">
      <c r="A619" s="18"/>
      <c r="B619" s="11"/>
      <c r="C619" s="11"/>
      <c r="D619" s="11"/>
      <c r="E619" s="11"/>
      <c r="F619" s="11"/>
      <c r="G619" s="11"/>
      <c r="H619" s="11"/>
      <c r="I619" s="11"/>
      <c r="J619" s="11"/>
      <c r="K619" s="11"/>
      <c r="L619" s="15"/>
      <c r="M619" s="15"/>
      <c r="N619" s="15"/>
      <c r="O619" s="15"/>
      <c r="P619" s="15"/>
      <c r="Q619" s="11"/>
      <c r="R619" s="11"/>
      <c r="S619" s="11"/>
      <c r="T619" s="11"/>
      <c r="U619" s="15"/>
      <c r="V619" s="11"/>
      <c r="W619" s="11"/>
      <c r="X619" s="11"/>
      <c r="Y619" s="11"/>
      <c r="Z619" s="11"/>
    </row>
    <row r="620">
      <c r="A620" s="18"/>
      <c r="B620" s="11"/>
      <c r="C620" s="11"/>
      <c r="D620" s="11"/>
      <c r="E620" s="11"/>
      <c r="F620" s="11"/>
      <c r="G620" s="11"/>
      <c r="H620" s="11"/>
      <c r="I620" s="11"/>
      <c r="J620" s="11"/>
      <c r="K620" s="11"/>
      <c r="L620" s="15"/>
      <c r="M620" s="15"/>
      <c r="N620" s="15"/>
      <c r="O620" s="15"/>
      <c r="P620" s="15"/>
      <c r="Q620" s="11"/>
      <c r="R620" s="11"/>
      <c r="S620" s="11"/>
      <c r="T620" s="11"/>
      <c r="U620" s="15"/>
      <c r="V620" s="11"/>
      <c r="W620" s="11"/>
      <c r="X620" s="11"/>
      <c r="Y620" s="11"/>
      <c r="Z620" s="11"/>
    </row>
    <row r="621">
      <c r="A621" s="18"/>
      <c r="B621" s="11"/>
      <c r="C621" s="11"/>
      <c r="D621" s="11"/>
      <c r="E621" s="11"/>
      <c r="F621" s="11"/>
      <c r="G621" s="11"/>
      <c r="H621" s="11"/>
      <c r="I621" s="11"/>
      <c r="J621" s="11"/>
      <c r="K621" s="11"/>
      <c r="L621" s="15"/>
      <c r="M621" s="15"/>
      <c r="N621" s="15"/>
      <c r="O621" s="15"/>
      <c r="P621" s="15"/>
      <c r="Q621" s="11"/>
      <c r="R621" s="11"/>
      <c r="S621" s="11"/>
      <c r="T621" s="11"/>
      <c r="U621" s="15"/>
      <c r="V621" s="11"/>
      <c r="W621" s="11"/>
      <c r="X621" s="11"/>
      <c r="Y621" s="11"/>
      <c r="Z621" s="11"/>
    </row>
    <row r="622">
      <c r="A622" s="18"/>
      <c r="B622" s="11"/>
      <c r="C622" s="11"/>
      <c r="D622" s="11"/>
      <c r="E622" s="11"/>
      <c r="F622" s="11"/>
      <c r="G622" s="11"/>
      <c r="H622" s="11"/>
      <c r="I622" s="11"/>
      <c r="J622" s="11"/>
      <c r="K622" s="11"/>
      <c r="L622" s="15"/>
      <c r="M622" s="15"/>
      <c r="N622" s="15"/>
      <c r="O622" s="15"/>
      <c r="P622" s="15"/>
      <c r="Q622" s="11"/>
      <c r="R622" s="11"/>
      <c r="S622" s="11"/>
      <c r="T622" s="11"/>
      <c r="U622" s="15"/>
      <c r="V622" s="11"/>
      <c r="W622" s="11"/>
      <c r="X622" s="11"/>
      <c r="Y622" s="11"/>
      <c r="Z622" s="11"/>
    </row>
    <row r="623">
      <c r="A623" s="18"/>
      <c r="B623" s="11"/>
      <c r="C623" s="11"/>
      <c r="D623" s="11"/>
      <c r="E623" s="11"/>
      <c r="F623" s="11"/>
      <c r="G623" s="11"/>
      <c r="H623" s="11"/>
      <c r="I623" s="11"/>
      <c r="J623" s="11"/>
      <c r="K623" s="11"/>
      <c r="L623" s="15"/>
      <c r="M623" s="15"/>
      <c r="N623" s="15"/>
      <c r="O623" s="15"/>
      <c r="P623" s="15"/>
      <c r="Q623" s="11"/>
      <c r="R623" s="11"/>
      <c r="S623" s="11"/>
      <c r="T623" s="11"/>
      <c r="U623" s="15"/>
      <c r="V623" s="11"/>
      <c r="W623" s="11"/>
      <c r="X623" s="11"/>
      <c r="Y623" s="11"/>
      <c r="Z623" s="11"/>
    </row>
    <row r="624">
      <c r="A624" s="18"/>
      <c r="B624" s="11"/>
      <c r="C624" s="11"/>
      <c r="D624" s="11"/>
      <c r="E624" s="11"/>
      <c r="F624" s="11"/>
      <c r="G624" s="11"/>
      <c r="H624" s="11"/>
      <c r="I624" s="11"/>
      <c r="J624" s="11"/>
      <c r="K624" s="11"/>
      <c r="L624" s="15"/>
      <c r="M624" s="15"/>
      <c r="N624" s="15"/>
      <c r="O624" s="15"/>
      <c r="P624" s="15"/>
      <c r="Q624" s="11"/>
      <c r="R624" s="11"/>
      <c r="S624" s="11"/>
      <c r="T624" s="11"/>
      <c r="U624" s="15"/>
      <c r="V624" s="11"/>
      <c r="W624" s="11"/>
      <c r="X624" s="11"/>
      <c r="Y624" s="11"/>
      <c r="Z624" s="11"/>
    </row>
    <row r="625">
      <c r="A625" s="18"/>
      <c r="B625" s="11"/>
      <c r="C625" s="11"/>
      <c r="D625" s="11"/>
      <c r="E625" s="11"/>
      <c r="F625" s="11"/>
      <c r="G625" s="11"/>
      <c r="H625" s="11"/>
      <c r="I625" s="11"/>
      <c r="J625" s="11"/>
      <c r="K625" s="11"/>
      <c r="L625" s="15"/>
      <c r="M625" s="15"/>
      <c r="N625" s="15"/>
      <c r="O625" s="15"/>
      <c r="P625" s="15"/>
      <c r="Q625" s="11"/>
      <c r="R625" s="11"/>
      <c r="S625" s="11"/>
      <c r="T625" s="11"/>
      <c r="U625" s="15"/>
      <c r="V625" s="11"/>
      <c r="W625" s="11"/>
      <c r="X625" s="11"/>
      <c r="Y625" s="11"/>
      <c r="Z625" s="11"/>
    </row>
    <row r="626">
      <c r="A626" s="18"/>
      <c r="B626" s="11"/>
      <c r="C626" s="11"/>
      <c r="D626" s="11"/>
      <c r="E626" s="11"/>
      <c r="F626" s="11"/>
      <c r="G626" s="11"/>
      <c r="H626" s="11"/>
      <c r="I626" s="11"/>
      <c r="J626" s="11"/>
      <c r="K626" s="11"/>
      <c r="L626" s="15"/>
      <c r="M626" s="15"/>
      <c r="N626" s="15"/>
      <c r="O626" s="15"/>
      <c r="P626" s="15"/>
      <c r="Q626" s="11"/>
      <c r="R626" s="11"/>
      <c r="S626" s="11"/>
      <c r="T626" s="11"/>
      <c r="U626" s="15"/>
      <c r="V626" s="11"/>
      <c r="W626" s="11"/>
      <c r="X626" s="11"/>
      <c r="Y626" s="11"/>
      <c r="Z626" s="11"/>
    </row>
    <row r="627">
      <c r="A627" s="18"/>
      <c r="B627" s="11"/>
      <c r="C627" s="11"/>
      <c r="D627" s="11"/>
      <c r="E627" s="11"/>
      <c r="F627" s="11"/>
      <c r="G627" s="11"/>
      <c r="H627" s="11"/>
      <c r="I627" s="11"/>
      <c r="J627" s="11"/>
      <c r="K627" s="11"/>
      <c r="L627" s="15"/>
      <c r="M627" s="15"/>
      <c r="N627" s="15"/>
      <c r="O627" s="15"/>
      <c r="P627" s="15"/>
      <c r="Q627" s="11"/>
      <c r="R627" s="11"/>
      <c r="S627" s="11"/>
      <c r="T627" s="11"/>
      <c r="U627" s="15"/>
      <c r="V627" s="11"/>
      <c r="W627" s="11"/>
      <c r="X627" s="11"/>
      <c r="Y627" s="11"/>
      <c r="Z627" s="11"/>
    </row>
    <row r="628">
      <c r="A628" s="18"/>
      <c r="B628" s="11"/>
      <c r="C628" s="11"/>
      <c r="D628" s="11"/>
      <c r="E628" s="11"/>
      <c r="F628" s="11"/>
      <c r="G628" s="11"/>
      <c r="H628" s="11"/>
      <c r="I628" s="11"/>
      <c r="J628" s="11"/>
      <c r="K628" s="11"/>
      <c r="L628" s="15"/>
      <c r="M628" s="15"/>
      <c r="N628" s="15"/>
      <c r="O628" s="15"/>
      <c r="P628" s="15"/>
      <c r="Q628" s="11"/>
      <c r="R628" s="11"/>
      <c r="S628" s="11"/>
      <c r="T628" s="11"/>
      <c r="U628" s="15"/>
      <c r="V628" s="11"/>
      <c r="W628" s="11"/>
      <c r="X628" s="11"/>
      <c r="Y628" s="11"/>
      <c r="Z628" s="11"/>
    </row>
    <row r="629">
      <c r="A629" s="18"/>
      <c r="B629" s="11"/>
      <c r="C629" s="11"/>
      <c r="D629" s="11"/>
      <c r="E629" s="11"/>
      <c r="F629" s="11"/>
      <c r="G629" s="11"/>
      <c r="H629" s="11"/>
      <c r="I629" s="11"/>
      <c r="J629" s="11"/>
      <c r="K629" s="11"/>
      <c r="L629" s="15"/>
      <c r="M629" s="15"/>
      <c r="N629" s="15"/>
      <c r="O629" s="15"/>
      <c r="P629" s="15"/>
      <c r="Q629" s="11"/>
      <c r="R629" s="11"/>
      <c r="S629" s="11"/>
      <c r="T629" s="11"/>
      <c r="U629" s="15"/>
      <c r="V629" s="11"/>
      <c r="W629" s="11"/>
      <c r="X629" s="11"/>
      <c r="Y629" s="11"/>
      <c r="Z629" s="11"/>
    </row>
    <row r="630">
      <c r="A630" s="18"/>
      <c r="B630" s="11"/>
      <c r="C630" s="11"/>
      <c r="D630" s="11"/>
      <c r="E630" s="11"/>
      <c r="F630" s="11"/>
      <c r="G630" s="11"/>
      <c r="H630" s="11"/>
      <c r="I630" s="11"/>
      <c r="J630" s="11"/>
      <c r="K630" s="11"/>
      <c r="L630" s="15"/>
      <c r="M630" s="15"/>
      <c r="N630" s="15"/>
      <c r="O630" s="15"/>
      <c r="P630" s="15"/>
      <c r="Q630" s="11"/>
      <c r="R630" s="11"/>
      <c r="S630" s="11"/>
      <c r="T630" s="11"/>
      <c r="U630" s="15"/>
      <c r="V630" s="11"/>
      <c r="W630" s="11"/>
      <c r="X630" s="11"/>
      <c r="Y630" s="11"/>
      <c r="Z630" s="11"/>
    </row>
    <row r="631">
      <c r="A631" s="18"/>
      <c r="B631" s="11"/>
      <c r="C631" s="11"/>
      <c r="D631" s="11"/>
      <c r="E631" s="11"/>
      <c r="F631" s="11"/>
      <c r="G631" s="11"/>
      <c r="H631" s="11"/>
      <c r="I631" s="11"/>
      <c r="J631" s="11"/>
      <c r="K631" s="11"/>
      <c r="L631" s="15"/>
      <c r="M631" s="15"/>
      <c r="N631" s="15"/>
      <c r="O631" s="15"/>
      <c r="P631" s="15"/>
      <c r="Q631" s="11"/>
      <c r="R631" s="11"/>
      <c r="S631" s="11"/>
      <c r="T631" s="11"/>
      <c r="U631" s="15"/>
      <c r="V631" s="11"/>
      <c r="W631" s="11"/>
      <c r="X631" s="11"/>
      <c r="Y631" s="11"/>
      <c r="Z631" s="11"/>
    </row>
    <row r="632">
      <c r="A632" s="18"/>
      <c r="B632" s="11"/>
      <c r="C632" s="11"/>
      <c r="D632" s="11"/>
      <c r="E632" s="11"/>
      <c r="F632" s="11"/>
      <c r="G632" s="11"/>
      <c r="H632" s="11"/>
      <c r="I632" s="11"/>
      <c r="J632" s="11"/>
      <c r="K632" s="11"/>
      <c r="L632" s="15"/>
      <c r="M632" s="15"/>
      <c r="N632" s="15"/>
      <c r="O632" s="15"/>
      <c r="P632" s="15"/>
      <c r="Q632" s="11"/>
      <c r="R632" s="11"/>
      <c r="S632" s="11"/>
      <c r="T632" s="11"/>
      <c r="U632" s="15"/>
      <c r="V632" s="11"/>
      <c r="W632" s="11"/>
      <c r="X632" s="11"/>
      <c r="Y632" s="11"/>
      <c r="Z632" s="11"/>
    </row>
    <row r="633">
      <c r="A633" s="18"/>
      <c r="B633" s="11"/>
      <c r="C633" s="11"/>
      <c r="D633" s="11"/>
      <c r="E633" s="11"/>
      <c r="F633" s="11"/>
      <c r="G633" s="11"/>
      <c r="H633" s="11"/>
      <c r="I633" s="11"/>
      <c r="J633" s="11"/>
      <c r="K633" s="11"/>
      <c r="L633" s="15"/>
      <c r="M633" s="15"/>
      <c r="N633" s="15"/>
      <c r="O633" s="15"/>
      <c r="P633" s="15"/>
      <c r="Q633" s="11"/>
      <c r="R633" s="11"/>
      <c r="S633" s="11"/>
      <c r="T633" s="11"/>
      <c r="U633" s="15"/>
      <c r="V633" s="11"/>
      <c r="W633" s="11"/>
      <c r="X633" s="11"/>
      <c r="Y633" s="11"/>
      <c r="Z633" s="11"/>
    </row>
    <row r="634">
      <c r="A634" s="18"/>
      <c r="B634" s="11"/>
      <c r="C634" s="11"/>
      <c r="D634" s="11"/>
      <c r="E634" s="11"/>
      <c r="F634" s="11"/>
      <c r="G634" s="11"/>
      <c r="H634" s="11"/>
      <c r="I634" s="11"/>
      <c r="J634" s="11"/>
      <c r="K634" s="11"/>
      <c r="L634" s="15"/>
      <c r="M634" s="15"/>
      <c r="N634" s="15"/>
      <c r="O634" s="15"/>
      <c r="P634" s="15"/>
      <c r="Q634" s="11"/>
      <c r="R634" s="11"/>
      <c r="S634" s="11"/>
      <c r="T634" s="11"/>
      <c r="U634" s="15"/>
      <c r="V634" s="11"/>
      <c r="W634" s="11"/>
      <c r="X634" s="11"/>
      <c r="Y634" s="11"/>
      <c r="Z634" s="11"/>
    </row>
    <row r="635">
      <c r="A635" s="18"/>
      <c r="B635" s="11"/>
      <c r="C635" s="11"/>
      <c r="D635" s="11"/>
      <c r="E635" s="11"/>
      <c r="F635" s="11"/>
      <c r="G635" s="11"/>
      <c r="H635" s="11"/>
      <c r="I635" s="11"/>
      <c r="J635" s="11"/>
      <c r="K635" s="11"/>
      <c r="L635" s="15"/>
      <c r="M635" s="15"/>
      <c r="N635" s="15"/>
      <c r="O635" s="15"/>
      <c r="P635" s="15"/>
      <c r="Q635" s="11"/>
      <c r="R635" s="11"/>
      <c r="S635" s="11"/>
      <c r="T635" s="11"/>
      <c r="U635" s="15"/>
      <c r="V635" s="11"/>
      <c r="W635" s="11"/>
      <c r="X635" s="11"/>
      <c r="Y635" s="11"/>
      <c r="Z635" s="11"/>
    </row>
    <row r="636">
      <c r="A636" s="18"/>
      <c r="B636" s="11"/>
      <c r="C636" s="11"/>
      <c r="D636" s="11"/>
      <c r="E636" s="11"/>
      <c r="F636" s="11"/>
      <c r="G636" s="11"/>
      <c r="H636" s="11"/>
      <c r="I636" s="11"/>
      <c r="J636" s="11"/>
      <c r="K636" s="11"/>
      <c r="L636" s="15"/>
      <c r="M636" s="15"/>
      <c r="N636" s="15"/>
      <c r="O636" s="15"/>
      <c r="P636" s="15"/>
      <c r="Q636" s="11"/>
      <c r="R636" s="11"/>
      <c r="S636" s="11"/>
      <c r="T636" s="11"/>
      <c r="U636" s="15"/>
      <c r="V636" s="11"/>
      <c r="W636" s="11"/>
      <c r="X636" s="11"/>
      <c r="Y636" s="11"/>
      <c r="Z636" s="11"/>
    </row>
    <row r="637">
      <c r="A637" s="18"/>
      <c r="B637" s="11"/>
      <c r="C637" s="11"/>
      <c r="D637" s="11"/>
      <c r="E637" s="11"/>
      <c r="F637" s="11"/>
      <c r="G637" s="11"/>
      <c r="H637" s="11"/>
      <c r="I637" s="11"/>
      <c r="J637" s="11"/>
      <c r="K637" s="11"/>
      <c r="L637" s="15"/>
      <c r="M637" s="15"/>
      <c r="N637" s="15"/>
      <c r="O637" s="15"/>
      <c r="P637" s="15"/>
      <c r="Q637" s="11"/>
      <c r="R637" s="11"/>
      <c r="S637" s="11"/>
      <c r="T637" s="11"/>
      <c r="U637" s="15"/>
      <c r="V637" s="11"/>
      <c r="W637" s="11"/>
      <c r="X637" s="11"/>
      <c r="Y637" s="11"/>
      <c r="Z637" s="11"/>
    </row>
    <row r="638">
      <c r="A638" s="18"/>
      <c r="B638" s="11"/>
      <c r="C638" s="11"/>
      <c r="D638" s="11"/>
      <c r="E638" s="11"/>
      <c r="F638" s="11"/>
      <c r="G638" s="11"/>
      <c r="H638" s="11"/>
      <c r="I638" s="11"/>
      <c r="J638" s="11"/>
      <c r="K638" s="11"/>
      <c r="L638" s="15"/>
      <c r="M638" s="15"/>
      <c r="N638" s="15"/>
      <c r="O638" s="15"/>
      <c r="P638" s="15"/>
      <c r="Q638" s="11"/>
      <c r="R638" s="11"/>
      <c r="S638" s="11"/>
      <c r="T638" s="11"/>
      <c r="U638" s="15"/>
      <c r="V638" s="11"/>
      <c r="W638" s="11"/>
      <c r="X638" s="11"/>
      <c r="Y638" s="11"/>
      <c r="Z638" s="11"/>
    </row>
    <row r="639">
      <c r="A639" s="18"/>
      <c r="B639" s="11"/>
      <c r="C639" s="11"/>
      <c r="D639" s="11"/>
      <c r="E639" s="11"/>
      <c r="F639" s="11"/>
      <c r="G639" s="11"/>
      <c r="H639" s="11"/>
      <c r="I639" s="11"/>
      <c r="J639" s="11"/>
      <c r="K639" s="11"/>
      <c r="L639" s="15"/>
      <c r="M639" s="15"/>
      <c r="N639" s="15"/>
      <c r="O639" s="15"/>
      <c r="P639" s="15"/>
      <c r="Q639" s="11"/>
      <c r="R639" s="11"/>
      <c r="S639" s="11"/>
      <c r="T639" s="11"/>
      <c r="U639" s="15"/>
      <c r="V639" s="11"/>
      <c r="W639" s="11"/>
      <c r="X639" s="11"/>
      <c r="Y639" s="11"/>
      <c r="Z639" s="11"/>
    </row>
    <row r="640">
      <c r="A640" s="18"/>
      <c r="B640" s="11"/>
      <c r="C640" s="11"/>
      <c r="D640" s="11"/>
      <c r="E640" s="11"/>
      <c r="F640" s="11"/>
      <c r="G640" s="11"/>
      <c r="H640" s="11"/>
      <c r="I640" s="11"/>
      <c r="J640" s="11"/>
      <c r="K640" s="11"/>
      <c r="L640" s="15"/>
      <c r="M640" s="15"/>
      <c r="N640" s="15"/>
      <c r="O640" s="15"/>
      <c r="P640" s="15"/>
      <c r="Q640" s="11"/>
      <c r="R640" s="11"/>
      <c r="S640" s="11"/>
      <c r="T640" s="11"/>
      <c r="U640" s="15"/>
      <c r="V640" s="11"/>
      <c r="W640" s="11"/>
      <c r="X640" s="11"/>
      <c r="Y640" s="11"/>
      <c r="Z640" s="11"/>
    </row>
    <row r="641">
      <c r="A641" s="18"/>
      <c r="B641" s="11"/>
      <c r="C641" s="11"/>
      <c r="D641" s="11"/>
      <c r="E641" s="11"/>
      <c r="F641" s="11"/>
      <c r="G641" s="11"/>
      <c r="H641" s="11"/>
      <c r="I641" s="11"/>
      <c r="J641" s="11"/>
      <c r="K641" s="11"/>
      <c r="L641" s="15"/>
      <c r="M641" s="15"/>
      <c r="N641" s="15"/>
      <c r="O641" s="15"/>
      <c r="P641" s="15"/>
      <c r="Q641" s="11"/>
      <c r="R641" s="11"/>
      <c r="S641" s="11"/>
      <c r="T641" s="11"/>
      <c r="U641" s="15"/>
      <c r="V641" s="11"/>
      <c r="W641" s="11"/>
      <c r="X641" s="11"/>
      <c r="Y641" s="11"/>
      <c r="Z641" s="11"/>
    </row>
    <row r="642">
      <c r="A642" s="18"/>
      <c r="B642" s="11"/>
      <c r="C642" s="11"/>
      <c r="D642" s="11"/>
      <c r="E642" s="11"/>
      <c r="F642" s="11"/>
      <c r="G642" s="11"/>
      <c r="H642" s="11"/>
      <c r="I642" s="11"/>
      <c r="J642" s="11"/>
      <c r="K642" s="11"/>
      <c r="L642" s="15"/>
      <c r="M642" s="15"/>
      <c r="N642" s="15"/>
      <c r="O642" s="15"/>
      <c r="P642" s="15"/>
      <c r="Q642" s="11"/>
      <c r="R642" s="11"/>
      <c r="S642" s="11"/>
      <c r="T642" s="11"/>
      <c r="U642" s="15"/>
      <c r="V642" s="11"/>
      <c r="W642" s="11"/>
      <c r="X642" s="11"/>
      <c r="Y642" s="11"/>
      <c r="Z642" s="11"/>
    </row>
    <row r="643">
      <c r="A643" s="18"/>
      <c r="B643" s="11"/>
      <c r="C643" s="11"/>
      <c r="D643" s="11"/>
      <c r="E643" s="11"/>
      <c r="F643" s="11"/>
      <c r="G643" s="11"/>
      <c r="H643" s="11"/>
      <c r="I643" s="11"/>
      <c r="J643" s="11"/>
      <c r="K643" s="11"/>
      <c r="L643" s="15"/>
      <c r="M643" s="15"/>
      <c r="N643" s="15"/>
      <c r="O643" s="15"/>
      <c r="P643" s="15"/>
      <c r="Q643" s="11"/>
      <c r="R643" s="11"/>
      <c r="S643" s="11"/>
      <c r="T643" s="11"/>
      <c r="U643" s="15"/>
      <c r="V643" s="11"/>
      <c r="W643" s="11"/>
      <c r="X643" s="11"/>
      <c r="Y643" s="11"/>
      <c r="Z643" s="11"/>
    </row>
    <row r="644">
      <c r="A644" s="18"/>
      <c r="B644" s="11"/>
      <c r="C644" s="11"/>
      <c r="D644" s="11"/>
      <c r="E644" s="11"/>
      <c r="F644" s="11"/>
      <c r="G644" s="11"/>
      <c r="H644" s="11"/>
      <c r="I644" s="11"/>
      <c r="J644" s="11"/>
      <c r="K644" s="11"/>
      <c r="L644" s="15"/>
      <c r="M644" s="15"/>
      <c r="N644" s="15"/>
      <c r="O644" s="15"/>
      <c r="P644" s="15"/>
      <c r="Q644" s="11"/>
      <c r="R644" s="11"/>
      <c r="S644" s="11"/>
      <c r="T644" s="11"/>
      <c r="U644" s="15"/>
      <c r="V644" s="11"/>
      <c r="W644" s="11"/>
      <c r="X644" s="11"/>
      <c r="Y644" s="11"/>
      <c r="Z644" s="11"/>
    </row>
    <row r="645">
      <c r="A645" s="18"/>
      <c r="B645" s="11"/>
      <c r="C645" s="11"/>
      <c r="D645" s="11"/>
      <c r="E645" s="11"/>
      <c r="F645" s="11"/>
      <c r="G645" s="11"/>
      <c r="H645" s="11"/>
      <c r="I645" s="11"/>
      <c r="J645" s="11"/>
      <c r="K645" s="11"/>
      <c r="L645" s="15"/>
      <c r="M645" s="15"/>
      <c r="N645" s="15"/>
      <c r="O645" s="15"/>
      <c r="P645" s="15"/>
      <c r="Q645" s="11"/>
      <c r="R645" s="11"/>
      <c r="S645" s="11"/>
      <c r="T645" s="11"/>
      <c r="U645" s="15"/>
      <c r="V645" s="11"/>
      <c r="W645" s="11"/>
      <c r="X645" s="11"/>
      <c r="Y645" s="11"/>
      <c r="Z645" s="11"/>
    </row>
    <row r="646">
      <c r="A646" s="18"/>
      <c r="B646" s="11"/>
      <c r="C646" s="11"/>
      <c r="D646" s="11"/>
      <c r="E646" s="11"/>
      <c r="F646" s="11"/>
      <c r="G646" s="11"/>
      <c r="H646" s="11"/>
      <c r="I646" s="11"/>
      <c r="J646" s="11"/>
      <c r="K646" s="11"/>
      <c r="L646" s="15"/>
      <c r="M646" s="15"/>
      <c r="N646" s="15"/>
      <c r="O646" s="15"/>
      <c r="P646" s="15"/>
      <c r="Q646" s="11"/>
      <c r="R646" s="11"/>
      <c r="S646" s="11"/>
      <c r="T646" s="11"/>
      <c r="U646" s="15"/>
      <c r="V646" s="11"/>
      <c r="W646" s="11"/>
      <c r="X646" s="11"/>
      <c r="Y646" s="11"/>
      <c r="Z646" s="11"/>
    </row>
    <row r="647">
      <c r="A647" s="18"/>
      <c r="B647" s="11"/>
      <c r="C647" s="11"/>
      <c r="D647" s="11"/>
      <c r="E647" s="11"/>
      <c r="F647" s="11"/>
      <c r="G647" s="11"/>
      <c r="H647" s="11"/>
      <c r="I647" s="11"/>
      <c r="J647" s="11"/>
      <c r="K647" s="11"/>
      <c r="L647" s="15"/>
      <c r="M647" s="15"/>
      <c r="N647" s="15"/>
      <c r="O647" s="15"/>
      <c r="P647" s="15"/>
      <c r="Q647" s="11"/>
      <c r="R647" s="11"/>
      <c r="S647" s="11"/>
      <c r="T647" s="11"/>
      <c r="U647" s="15"/>
      <c r="V647" s="11"/>
      <c r="W647" s="11"/>
      <c r="X647" s="11"/>
      <c r="Y647" s="11"/>
      <c r="Z647" s="11"/>
    </row>
    <row r="648">
      <c r="A648" s="18"/>
      <c r="B648" s="11"/>
      <c r="C648" s="11"/>
      <c r="D648" s="11"/>
      <c r="E648" s="11"/>
      <c r="F648" s="11"/>
      <c r="G648" s="11"/>
      <c r="H648" s="11"/>
      <c r="I648" s="11"/>
      <c r="J648" s="11"/>
      <c r="K648" s="11"/>
      <c r="L648" s="15"/>
      <c r="M648" s="15"/>
      <c r="N648" s="15"/>
      <c r="O648" s="15"/>
      <c r="P648" s="15"/>
      <c r="Q648" s="11"/>
      <c r="R648" s="11"/>
      <c r="S648" s="11"/>
      <c r="T648" s="11"/>
      <c r="U648" s="15"/>
      <c r="V648" s="11"/>
      <c r="W648" s="11"/>
      <c r="X648" s="11"/>
      <c r="Y648" s="11"/>
      <c r="Z648" s="11"/>
    </row>
    <row r="649">
      <c r="A649" s="18"/>
      <c r="B649" s="11"/>
      <c r="C649" s="11"/>
      <c r="D649" s="11"/>
      <c r="E649" s="11"/>
      <c r="F649" s="11"/>
      <c r="G649" s="11"/>
      <c r="H649" s="11"/>
      <c r="I649" s="11"/>
      <c r="J649" s="11"/>
      <c r="K649" s="11"/>
      <c r="L649" s="15"/>
      <c r="M649" s="15"/>
      <c r="N649" s="15"/>
      <c r="O649" s="15"/>
      <c r="P649" s="15"/>
      <c r="Q649" s="11"/>
      <c r="R649" s="11"/>
      <c r="S649" s="11"/>
      <c r="T649" s="11"/>
      <c r="U649" s="15"/>
      <c r="V649" s="11"/>
      <c r="W649" s="11"/>
      <c r="X649" s="11"/>
      <c r="Y649" s="11"/>
      <c r="Z649" s="11"/>
    </row>
    <row r="650">
      <c r="A650" s="18"/>
      <c r="B650" s="11"/>
      <c r="C650" s="11"/>
      <c r="D650" s="11"/>
      <c r="E650" s="11"/>
      <c r="F650" s="11"/>
      <c r="G650" s="11"/>
      <c r="H650" s="11"/>
      <c r="I650" s="11"/>
      <c r="J650" s="11"/>
      <c r="K650" s="11"/>
      <c r="L650" s="15"/>
      <c r="M650" s="15"/>
      <c r="N650" s="15"/>
      <c r="O650" s="15"/>
      <c r="P650" s="15"/>
      <c r="Q650" s="11"/>
      <c r="R650" s="11"/>
      <c r="S650" s="11"/>
      <c r="T650" s="11"/>
      <c r="U650" s="15"/>
      <c r="V650" s="11"/>
      <c r="W650" s="11"/>
      <c r="X650" s="11"/>
      <c r="Y650" s="11"/>
      <c r="Z650" s="11"/>
    </row>
    <row r="651">
      <c r="A651" s="18"/>
      <c r="B651" s="11"/>
      <c r="C651" s="11"/>
      <c r="D651" s="11"/>
      <c r="E651" s="11"/>
      <c r="F651" s="11"/>
      <c r="G651" s="11"/>
      <c r="H651" s="11"/>
      <c r="I651" s="11"/>
      <c r="J651" s="11"/>
      <c r="K651" s="11"/>
      <c r="L651" s="15"/>
      <c r="M651" s="15"/>
      <c r="N651" s="15"/>
      <c r="O651" s="15"/>
      <c r="P651" s="15"/>
      <c r="Q651" s="11"/>
      <c r="R651" s="11"/>
      <c r="S651" s="11"/>
      <c r="T651" s="11"/>
      <c r="U651" s="15"/>
      <c r="V651" s="11"/>
      <c r="W651" s="11"/>
      <c r="X651" s="11"/>
      <c r="Y651" s="11"/>
      <c r="Z651" s="11"/>
    </row>
    <row r="652">
      <c r="A652" s="18"/>
      <c r="B652" s="11"/>
      <c r="C652" s="11"/>
      <c r="D652" s="11"/>
      <c r="E652" s="11"/>
      <c r="F652" s="11"/>
      <c r="G652" s="11"/>
      <c r="H652" s="11"/>
      <c r="I652" s="11"/>
      <c r="J652" s="11"/>
      <c r="K652" s="11"/>
      <c r="L652" s="15"/>
      <c r="M652" s="15"/>
      <c r="N652" s="15"/>
      <c r="O652" s="15"/>
      <c r="P652" s="15"/>
      <c r="Q652" s="11"/>
      <c r="R652" s="11"/>
      <c r="S652" s="11"/>
      <c r="T652" s="11"/>
      <c r="U652" s="15"/>
      <c r="V652" s="11"/>
      <c r="W652" s="11"/>
      <c r="X652" s="11"/>
      <c r="Y652" s="11"/>
      <c r="Z652" s="11"/>
    </row>
    <row r="653">
      <c r="A653" s="18"/>
      <c r="B653" s="11"/>
      <c r="C653" s="11"/>
      <c r="D653" s="11"/>
      <c r="E653" s="11"/>
      <c r="F653" s="11"/>
      <c r="G653" s="11"/>
      <c r="H653" s="11"/>
      <c r="I653" s="11"/>
      <c r="J653" s="11"/>
      <c r="K653" s="11"/>
      <c r="L653" s="15"/>
      <c r="M653" s="15"/>
      <c r="N653" s="15"/>
      <c r="O653" s="15"/>
      <c r="P653" s="15"/>
      <c r="Q653" s="11"/>
      <c r="R653" s="11"/>
      <c r="S653" s="11"/>
      <c r="T653" s="11"/>
      <c r="U653" s="15"/>
      <c r="V653" s="11"/>
      <c r="W653" s="11"/>
      <c r="X653" s="11"/>
      <c r="Y653" s="11"/>
      <c r="Z653" s="11"/>
    </row>
    <row r="654">
      <c r="A654" s="18"/>
      <c r="B654" s="11"/>
      <c r="C654" s="11"/>
      <c r="D654" s="11"/>
      <c r="E654" s="11"/>
      <c r="F654" s="11"/>
      <c r="G654" s="11"/>
      <c r="H654" s="11"/>
      <c r="I654" s="11"/>
      <c r="J654" s="11"/>
      <c r="K654" s="11"/>
      <c r="L654" s="15"/>
      <c r="M654" s="15"/>
      <c r="N654" s="15"/>
      <c r="O654" s="15"/>
      <c r="P654" s="15"/>
      <c r="Q654" s="11"/>
      <c r="R654" s="11"/>
      <c r="S654" s="11"/>
      <c r="T654" s="11"/>
      <c r="U654" s="15"/>
      <c r="V654" s="11"/>
      <c r="W654" s="11"/>
      <c r="X654" s="11"/>
      <c r="Y654" s="11"/>
      <c r="Z654" s="11"/>
    </row>
    <row r="655">
      <c r="A655" s="18"/>
      <c r="B655" s="11"/>
      <c r="C655" s="11"/>
      <c r="D655" s="11"/>
      <c r="E655" s="11"/>
      <c r="F655" s="11"/>
      <c r="G655" s="11"/>
      <c r="H655" s="11"/>
      <c r="I655" s="11"/>
      <c r="J655" s="11"/>
      <c r="K655" s="11"/>
      <c r="L655" s="15"/>
      <c r="M655" s="15"/>
      <c r="N655" s="15"/>
      <c r="O655" s="15"/>
      <c r="P655" s="15"/>
      <c r="Q655" s="11"/>
      <c r="R655" s="11"/>
      <c r="S655" s="11"/>
      <c r="T655" s="11"/>
      <c r="U655" s="15"/>
      <c r="V655" s="11"/>
      <c r="W655" s="11"/>
      <c r="X655" s="11"/>
      <c r="Y655" s="11"/>
      <c r="Z655" s="11"/>
    </row>
    <row r="656">
      <c r="A656" s="18"/>
      <c r="B656" s="11"/>
      <c r="C656" s="11"/>
      <c r="D656" s="11"/>
      <c r="E656" s="11"/>
      <c r="F656" s="11"/>
      <c r="G656" s="11"/>
      <c r="H656" s="11"/>
      <c r="I656" s="11"/>
      <c r="J656" s="11"/>
      <c r="K656" s="11"/>
      <c r="L656" s="15"/>
      <c r="M656" s="15"/>
      <c r="N656" s="15"/>
      <c r="O656" s="15"/>
      <c r="P656" s="15"/>
      <c r="Q656" s="11"/>
      <c r="R656" s="11"/>
      <c r="S656" s="11"/>
      <c r="T656" s="11"/>
      <c r="U656" s="15"/>
      <c r="V656" s="11"/>
      <c r="W656" s="11"/>
      <c r="X656" s="11"/>
      <c r="Y656" s="11"/>
      <c r="Z656" s="11"/>
    </row>
    <row r="657">
      <c r="A657" s="18"/>
      <c r="B657" s="11"/>
      <c r="C657" s="11"/>
      <c r="D657" s="11"/>
      <c r="E657" s="11"/>
      <c r="F657" s="11"/>
      <c r="G657" s="11"/>
      <c r="H657" s="11"/>
      <c r="I657" s="11"/>
      <c r="J657" s="11"/>
      <c r="K657" s="11"/>
      <c r="L657" s="15"/>
      <c r="M657" s="15"/>
      <c r="N657" s="15"/>
      <c r="O657" s="15"/>
      <c r="P657" s="15"/>
      <c r="Q657" s="11"/>
      <c r="R657" s="11"/>
      <c r="S657" s="11"/>
      <c r="T657" s="11"/>
      <c r="U657" s="15"/>
      <c r="V657" s="11"/>
      <c r="W657" s="11"/>
      <c r="X657" s="11"/>
      <c r="Y657" s="11"/>
      <c r="Z657" s="11"/>
    </row>
    <row r="658">
      <c r="A658" s="18"/>
      <c r="B658" s="11"/>
      <c r="C658" s="11"/>
      <c r="D658" s="11"/>
      <c r="E658" s="11"/>
      <c r="F658" s="11"/>
      <c r="G658" s="11"/>
      <c r="H658" s="11"/>
      <c r="I658" s="11"/>
      <c r="J658" s="11"/>
      <c r="K658" s="11"/>
      <c r="L658" s="15"/>
      <c r="M658" s="15"/>
      <c r="N658" s="15"/>
      <c r="O658" s="15"/>
      <c r="P658" s="15"/>
      <c r="Q658" s="11"/>
      <c r="R658" s="11"/>
      <c r="S658" s="11"/>
      <c r="T658" s="11"/>
      <c r="U658" s="15"/>
      <c r="V658" s="11"/>
      <c r="W658" s="11"/>
      <c r="X658" s="11"/>
      <c r="Y658" s="11"/>
      <c r="Z658" s="11"/>
    </row>
    <row r="659">
      <c r="A659" s="18"/>
      <c r="B659" s="11"/>
      <c r="C659" s="11"/>
      <c r="D659" s="11"/>
      <c r="E659" s="11"/>
      <c r="F659" s="11"/>
      <c r="G659" s="11"/>
      <c r="H659" s="11"/>
      <c r="I659" s="11"/>
      <c r="J659" s="11"/>
      <c r="K659" s="11"/>
      <c r="L659" s="15"/>
      <c r="M659" s="15"/>
      <c r="N659" s="15"/>
      <c r="O659" s="15"/>
      <c r="P659" s="15"/>
      <c r="Q659" s="11"/>
      <c r="R659" s="11"/>
      <c r="S659" s="11"/>
      <c r="T659" s="11"/>
      <c r="U659" s="15"/>
      <c r="V659" s="11"/>
      <c r="W659" s="11"/>
      <c r="X659" s="11"/>
      <c r="Y659" s="11"/>
      <c r="Z659" s="11"/>
    </row>
    <row r="660">
      <c r="A660" s="18"/>
      <c r="B660" s="11"/>
      <c r="C660" s="11"/>
      <c r="D660" s="11"/>
      <c r="E660" s="11"/>
      <c r="F660" s="11"/>
      <c r="G660" s="11"/>
      <c r="H660" s="11"/>
      <c r="I660" s="11"/>
      <c r="J660" s="11"/>
      <c r="K660" s="11"/>
      <c r="L660" s="15"/>
      <c r="M660" s="15"/>
      <c r="N660" s="15"/>
      <c r="O660" s="15"/>
      <c r="P660" s="15"/>
      <c r="Q660" s="11"/>
      <c r="R660" s="11"/>
      <c r="S660" s="11"/>
      <c r="T660" s="11"/>
      <c r="U660" s="15"/>
      <c r="V660" s="11"/>
      <c r="W660" s="11"/>
      <c r="X660" s="11"/>
      <c r="Y660" s="11"/>
      <c r="Z660" s="11"/>
    </row>
    <row r="661">
      <c r="A661" s="18"/>
      <c r="B661" s="11"/>
      <c r="C661" s="11"/>
      <c r="D661" s="11"/>
      <c r="E661" s="11"/>
      <c r="F661" s="11"/>
      <c r="G661" s="11"/>
      <c r="H661" s="11"/>
      <c r="I661" s="11"/>
      <c r="J661" s="11"/>
      <c r="K661" s="11"/>
      <c r="L661" s="15"/>
      <c r="M661" s="15"/>
      <c r="N661" s="15"/>
      <c r="O661" s="15"/>
      <c r="P661" s="15"/>
      <c r="Q661" s="11"/>
      <c r="R661" s="11"/>
      <c r="S661" s="11"/>
      <c r="T661" s="11"/>
      <c r="U661" s="15"/>
      <c r="V661" s="11"/>
      <c r="W661" s="11"/>
      <c r="X661" s="11"/>
      <c r="Y661" s="11"/>
      <c r="Z661" s="11"/>
    </row>
    <row r="662">
      <c r="A662" s="18"/>
      <c r="B662" s="11"/>
      <c r="C662" s="11"/>
      <c r="D662" s="11"/>
      <c r="E662" s="11"/>
      <c r="F662" s="11"/>
      <c r="G662" s="11"/>
      <c r="H662" s="11"/>
      <c r="I662" s="11"/>
      <c r="J662" s="11"/>
      <c r="K662" s="11"/>
      <c r="L662" s="15"/>
      <c r="M662" s="15"/>
      <c r="N662" s="15"/>
      <c r="O662" s="15"/>
      <c r="P662" s="15"/>
      <c r="Q662" s="11"/>
      <c r="R662" s="11"/>
      <c r="S662" s="11"/>
      <c r="T662" s="11"/>
      <c r="U662" s="15"/>
      <c r="V662" s="11"/>
      <c r="W662" s="11"/>
      <c r="X662" s="11"/>
      <c r="Y662" s="11"/>
      <c r="Z662" s="11"/>
    </row>
    <row r="663">
      <c r="A663" s="18"/>
      <c r="B663" s="11"/>
      <c r="C663" s="11"/>
      <c r="D663" s="11"/>
      <c r="E663" s="11"/>
      <c r="F663" s="11"/>
      <c r="G663" s="11"/>
      <c r="H663" s="11"/>
      <c r="I663" s="11"/>
      <c r="J663" s="11"/>
      <c r="K663" s="11"/>
      <c r="L663" s="15"/>
      <c r="M663" s="15"/>
      <c r="N663" s="15"/>
      <c r="O663" s="15"/>
      <c r="P663" s="15"/>
      <c r="Q663" s="11"/>
      <c r="R663" s="11"/>
      <c r="S663" s="11"/>
      <c r="T663" s="11"/>
      <c r="U663" s="15"/>
      <c r="V663" s="11"/>
      <c r="W663" s="11"/>
      <c r="X663" s="11"/>
      <c r="Y663" s="11"/>
      <c r="Z663" s="11"/>
    </row>
    <row r="664">
      <c r="A664" s="18"/>
      <c r="B664" s="11"/>
      <c r="C664" s="11"/>
      <c r="D664" s="11"/>
      <c r="E664" s="11"/>
      <c r="F664" s="11"/>
      <c r="G664" s="11"/>
      <c r="H664" s="11"/>
      <c r="I664" s="11"/>
      <c r="J664" s="11"/>
      <c r="K664" s="11"/>
      <c r="L664" s="15"/>
      <c r="M664" s="15"/>
      <c r="N664" s="15"/>
      <c r="O664" s="15"/>
      <c r="P664" s="15"/>
      <c r="Q664" s="11"/>
      <c r="R664" s="11"/>
      <c r="S664" s="11"/>
      <c r="T664" s="11"/>
      <c r="U664" s="15"/>
      <c r="V664" s="11"/>
      <c r="W664" s="11"/>
      <c r="X664" s="11"/>
      <c r="Y664" s="11"/>
      <c r="Z664" s="11"/>
    </row>
    <row r="665">
      <c r="A665" s="18"/>
      <c r="B665" s="11"/>
      <c r="C665" s="11"/>
      <c r="D665" s="11"/>
      <c r="E665" s="11"/>
      <c r="F665" s="11"/>
      <c r="G665" s="11"/>
      <c r="H665" s="11"/>
      <c r="I665" s="11"/>
      <c r="J665" s="11"/>
      <c r="K665" s="11"/>
      <c r="L665" s="15"/>
      <c r="M665" s="15"/>
      <c r="N665" s="15"/>
      <c r="O665" s="15"/>
      <c r="P665" s="15"/>
      <c r="Q665" s="11"/>
      <c r="R665" s="11"/>
      <c r="S665" s="11"/>
      <c r="T665" s="11"/>
      <c r="U665" s="15"/>
      <c r="V665" s="11"/>
      <c r="W665" s="11"/>
      <c r="X665" s="11"/>
      <c r="Y665" s="11"/>
      <c r="Z665" s="11"/>
    </row>
    <row r="666">
      <c r="A666" s="18"/>
      <c r="B666" s="11"/>
      <c r="C666" s="11"/>
      <c r="D666" s="11"/>
      <c r="E666" s="11"/>
      <c r="F666" s="11"/>
      <c r="G666" s="11"/>
      <c r="H666" s="11"/>
      <c r="I666" s="11"/>
      <c r="J666" s="11"/>
      <c r="K666" s="11"/>
      <c r="L666" s="15"/>
      <c r="M666" s="15"/>
      <c r="N666" s="15"/>
      <c r="O666" s="15"/>
      <c r="P666" s="15"/>
      <c r="Q666" s="11"/>
      <c r="R666" s="11"/>
      <c r="S666" s="11"/>
      <c r="T666" s="11"/>
      <c r="U666" s="15"/>
      <c r="V666" s="11"/>
      <c r="W666" s="11"/>
      <c r="X666" s="11"/>
      <c r="Y666" s="11"/>
      <c r="Z666" s="11"/>
    </row>
    <row r="667">
      <c r="A667" s="18"/>
      <c r="B667" s="11"/>
      <c r="C667" s="11"/>
      <c r="D667" s="11"/>
      <c r="E667" s="11"/>
      <c r="F667" s="11"/>
      <c r="G667" s="11"/>
      <c r="H667" s="11"/>
      <c r="I667" s="11"/>
      <c r="J667" s="11"/>
      <c r="K667" s="11"/>
      <c r="L667" s="15"/>
      <c r="M667" s="15"/>
      <c r="N667" s="15"/>
      <c r="O667" s="15"/>
      <c r="P667" s="15"/>
      <c r="Q667" s="11"/>
      <c r="R667" s="11"/>
      <c r="S667" s="11"/>
      <c r="T667" s="11"/>
      <c r="U667" s="15"/>
      <c r="V667" s="11"/>
      <c r="W667" s="11"/>
      <c r="X667" s="11"/>
      <c r="Y667" s="11"/>
      <c r="Z667" s="11"/>
    </row>
    <row r="668">
      <c r="A668" s="18"/>
      <c r="B668" s="11"/>
      <c r="C668" s="11"/>
      <c r="D668" s="11"/>
      <c r="E668" s="11"/>
      <c r="F668" s="11"/>
      <c r="G668" s="11"/>
      <c r="H668" s="11"/>
      <c r="I668" s="11"/>
      <c r="J668" s="11"/>
      <c r="K668" s="11"/>
      <c r="L668" s="15"/>
      <c r="M668" s="15"/>
      <c r="N668" s="15"/>
      <c r="O668" s="15"/>
      <c r="P668" s="15"/>
      <c r="Q668" s="11"/>
      <c r="R668" s="11"/>
      <c r="S668" s="11"/>
      <c r="T668" s="11"/>
      <c r="U668" s="15"/>
      <c r="V668" s="11"/>
      <c r="W668" s="11"/>
      <c r="X668" s="11"/>
      <c r="Y668" s="11"/>
      <c r="Z668" s="11"/>
    </row>
    <row r="669">
      <c r="A669" s="18"/>
      <c r="B669" s="11"/>
      <c r="C669" s="11"/>
      <c r="D669" s="11"/>
      <c r="E669" s="11"/>
      <c r="F669" s="11"/>
      <c r="G669" s="11"/>
      <c r="H669" s="11"/>
      <c r="I669" s="11"/>
      <c r="J669" s="11"/>
      <c r="K669" s="11"/>
      <c r="L669" s="15"/>
      <c r="M669" s="15"/>
      <c r="N669" s="15"/>
      <c r="O669" s="15"/>
      <c r="P669" s="15"/>
      <c r="Q669" s="11"/>
      <c r="R669" s="11"/>
      <c r="S669" s="11"/>
      <c r="T669" s="11"/>
      <c r="U669" s="15"/>
      <c r="V669" s="11"/>
      <c r="W669" s="11"/>
      <c r="X669" s="11"/>
      <c r="Y669" s="11"/>
      <c r="Z669" s="11"/>
    </row>
    <row r="670">
      <c r="A670" s="18"/>
      <c r="B670" s="11"/>
      <c r="C670" s="11"/>
      <c r="D670" s="11"/>
      <c r="E670" s="11"/>
      <c r="F670" s="11"/>
      <c r="G670" s="11"/>
      <c r="H670" s="11"/>
      <c r="I670" s="11"/>
      <c r="J670" s="11"/>
      <c r="K670" s="11"/>
      <c r="L670" s="15"/>
      <c r="M670" s="15"/>
      <c r="N670" s="15"/>
      <c r="O670" s="15"/>
      <c r="P670" s="15"/>
      <c r="Q670" s="11"/>
      <c r="R670" s="11"/>
      <c r="S670" s="11"/>
      <c r="T670" s="11"/>
      <c r="U670" s="15"/>
      <c r="V670" s="11"/>
      <c r="W670" s="11"/>
      <c r="X670" s="11"/>
      <c r="Y670" s="11"/>
      <c r="Z670" s="11"/>
    </row>
    <row r="671">
      <c r="A671" s="18"/>
      <c r="B671" s="11"/>
      <c r="C671" s="11"/>
      <c r="D671" s="11"/>
      <c r="E671" s="11"/>
      <c r="F671" s="11"/>
      <c r="G671" s="11"/>
      <c r="H671" s="11"/>
      <c r="I671" s="11"/>
      <c r="J671" s="11"/>
      <c r="K671" s="11"/>
      <c r="L671" s="15"/>
      <c r="M671" s="15"/>
      <c r="N671" s="15"/>
      <c r="O671" s="15"/>
      <c r="P671" s="15"/>
      <c r="Q671" s="11"/>
      <c r="R671" s="11"/>
      <c r="S671" s="11"/>
      <c r="T671" s="11"/>
      <c r="U671" s="15"/>
      <c r="V671" s="11"/>
      <c r="W671" s="11"/>
      <c r="X671" s="11"/>
      <c r="Y671" s="11"/>
      <c r="Z671" s="11"/>
    </row>
    <row r="672">
      <c r="A672" s="18"/>
      <c r="B672" s="11"/>
      <c r="C672" s="11"/>
      <c r="D672" s="11"/>
      <c r="E672" s="11"/>
      <c r="F672" s="11"/>
      <c r="G672" s="11"/>
      <c r="H672" s="11"/>
      <c r="I672" s="11"/>
      <c r="J672" s="11"/>
      <c r="K672" s="11"/>
      <c r="L672" s="15"/>
      <c r="M672" s="15"/>
      <c r="N672" s="15"/>
      <c r="O672" s="15"/>
      <c r="P672" s="15"/>
      <c r="Q672" s="11"/>
      <c r="R672" s="11"/>
      <c r="S672" s="11"/>
      <c r="T672" s="11"/>
      <c r="U672" s="15"/>
      <c r="V672" s="11"/>
      <c r="W672" s="11"/>
      <c r="X672" s="11"/>
      <c r="Y672" s="11"/>
      <c r="Z672" s="11"/>
    </row>
    <row r="673">
      <c r="A673" s="18"/>
      <c r="B673" s="11"/>
      <c r="C673" s="11"/>
      <c r="D673" s="11"/>
      <c r="E673" s="11"/>
      <c r="F673" s="11"/>
      <c r="G673" s="11"/>
      <c r="H673" s="11"/>
      <c r="I673" s="11"/>
      <c r="J673" s="11"/>
      <c r="K673" s="11"/>
      <c r="L673" s="15"/>
      <c r="M673" s="15"/>
      <c r="N673" s="15"/>
      <c r="O673" s="15"/>
      <c r="P673" s="15"/>
      <c r="Q673" s="11"/>
      <c r="R673" s="11"/>
      <c r="S673" s="11"/>
      <c r="T673" s="11"/>
      <c r="U673" s="15"/>
      <c r="V673" s="11"/>
      <c r="W673" s="11"/>
      <c r="X673" s="11"/>
      <c r="Y673" s="11"/>
      <c r="Z673" s="11"/>
    </row>
    <row r="674">
      <c r="A674" s="18"/>
      <c r="B674" s="11"/>
      <c r="C674" s="11"/>
      <c r="D674" s="11"/>
      <c r="E674" s="11"/>
      <c r="F674" s="11"/>
      <c r="G674" s="11"/>
      <c r="H674" s="11"/>
      <c r="I674" s="11"/>
      <c r="J674" s="11"/>
      <c r="K674" s="11"/>
      <c r="L674" s="15"/>
      <c r="M674" s="15"/>
      <c r="N674" s="15"/>
      <c r="O674" s="15"/>
      <c r="P674" s="15"/>
      <c r="Q674" s="11"/>
      <c r="R674" s="11"/>
      <c r="S674" s="11"/>
      <c r="T674" s="11"/>
      <c r="U674" s="15"/>
      <c r="V674" s="11"/>
      <c r="W674" s="11"/>
      <c r="X674" s="11"/>
      <c r="Y674" s="11"/>
      <c r="Z674" s="11"/>
    </row>
    <row r="675">
      <c r="A675" s="18"/>
      <c r="B675" s="11"/>
      <c r="C675" s="11"/>
      <c r="D675" s="11"/>
      <c r="E675" s="11"/>
      <c r="F675" s="11"/>
      <c r="G675" s="11"/>
      <c r="H675" s="11"/>
      <c r="I675" s="11"/>
      <c r="J675" s="11"/>
      <c r="K675" s="11"/>
      <c r="L675" s="15"/>
      <c r="M675" s="15"/>
      <c r="N675" s="15"/>
      <c r="O675" s="15"/>
      <c r="P675" s="15"/>
      <c r="Q675" s="11"/>
      <c r="R675" s="11"/>
      <c r="S675" s="11"/>
      <c r="T675" s="11"/>
      <c r="U675" s="15"/>
      <c r="V675" s="11"/>
      <c r="W675" s="11"/>
      <c r="X675" s="11"/>
      <c r="Y675" s="11"/>
      <c r="Z675" s="11"/>
    </row>
    <row r="676">
      <c r="A676" s="18"/>
      <c r="B676" s="11"/>
      <c r="C676" s="11"/>
      <c r="D676" s="11"/>
      <c r="E676" s="11"/>
      <c r="F676" s="11"/>
      <c r="G676" s="11"/>
      <c r="H676" s="11"/>
      <c r="I676" s="11"/>
      <c r="J676" s="11"/>
      <c r="K676" s="11"/>
      <c r="L676" s="15"/>
      <c r="M676" s="15"/>
      <c r="N676" s="15"/>
      <c r="O676" s="15"/>
      <c r="P676" s="15"/>
      <c r="Q676" s="11"/>
      <c r="R676" s="11"/>
      <c r="S676" s="11"/>
      <c r="T676" s="11"/>
      <c r="U676" s="15"/>
      <c r="V676" s="11"/>
      <c r="W676" s="11"/>
      <c r="X676" s="11"/>
      <c r="Y676" s="11"/>
      <c r="Z676" s="11"/>
    </row>
    <row r="677">
      <c r="A677" s="18"/>
      <c r="B677" s="11"/>
      <c r="C677" s="11"/>
      <c r="D677" s="11"/>
      <c r="E677" s="11"/>
      <c r="F677" s="11"/>
      <c r="G677" s="11"/>
      <c r="H677" s="11"/>
      <c r="I677" s="11"/>
      <c r="J677" s="11"/>
      <c r="K677" s="11"/>
      <c r="L677" s="15"/>
      <c r="M677" s="15"/>
      <c r="N677" s="15"/>
      <c r="O677" s="15"/>
      <c r="P677" s="15"/>
      <c r="Q677" s="11"/>
      <c r="R677" s="11"/>
      <c r="S677" s="11"/>
      <c r="T677" s="11"/>
      <c r="U677" s="15"/>
      <c r="V677" s="11"/>
      <c r="W677" s="11"/>
      <c r="X677" s="11"/>
      <c r="Y677" s="11"/>
      <c r="Z677" s="11"/>
    </row>
    <row r="678">
      <c r="A678" s="18"/>
      <c r="B678" s="11"/>
      <c r="C678" s="11"/>
      <c r="D678" s="11"/>
      <c r="E678" s="11"/>
      <c r="F678" s="11"/>
      <c r="G678" s="11"/>
      <c r="H678" s="11"/>
      <c r="I678" s="11"/>
      <c r="J678" s="11"/>
      <c r="K678" s="11"/>
      <c r="L678" s="15"/>
      <c r="M678" s="15"/>
      <c r="N678" s="15"/>
      <c r="O678" s="15"/>
      <c r="P678" s="15"/>
      <c r="Q678" s="11"/>
      <c r="R678" s="11"/>
      <c r="S678" s="11"/>
      <c r="T678" s="11"/>
      <c r="U678" s="15"/>
      <c r="V678" s="11"/>
      <c r="W678" s="11"/>
      <c r="X678" s="11"/>
      <c r="Y678" s="11"/>
      <c r="Z678" s="11"/>
    </row>
    <row r="679">
      <c r="A679" s="18"/>
      <c r="B679" s="11"/>
      <c r="C679" s="11"/>
      <c r="D679" s="11"/>
      <c r="E679" s="11"/>
      <c r="F679" s="11"/>
      <c r="G679" s="11"/>
      <c r="H679" s="11"/>
      <c r="I679" s="11"/>
      <c r="J679" s="11"/>
      <c r="K679" s="11"/>
      <c r="L679" s="15"/>
      <c r="M679" s="15"/>
      <c r="N679" s="15"/>
      <c r="O679" s="15"/>
      <c r="P679" s="15"/>
      <c r="Q679" s="11"/>
      <c r="R679" s="11"/>
      <c r="S679" s="11"/>
      <c r="T679" s="11"/>
      <c r="U679" s="15"/>
      <c r="V679" s="11"/>
      <c r="W679" s="11"/>
      <c r="X679" s="11"/>
      <c r="Y679" s="11"/>
      <c r="Z679" s="11"/>
    </row>
    <row r="680">
      <c r="A680" s="18"/>
      <c r="B680" s="11"/>
      <c r="C680" s="11"/>
      <c r="D680" s="11"/>
      <c r="E680" s="11"/>
      <c r="F680" s="11"/>
      <c r="G680" s="11"/>
      <c r="H680" s="11"/>
      <c r="I680" s="11"/>
      <c r="J680" s="11"/>
      <c r="K680" s="11"/>
      <c r="L680" s="15"/>
      <c r="M680" s="15"/>
      <c r="N680" s="15"/>
      <c r="O680" s="15"/>
      <c r="P680" s="15"/>
      <c r="Q680" s="11"/>
      <c r="R680" s="11"/>
      <c r="S680" s="11"/>
      <c r="T680" s="11"/>
      <c r="U680" s="15"/>
      <c r="V680" s="11"/>
      <c r="W680" s="11"/>
      <c r="X680" s="11"/>
      <c r="Y680" s="11"/>
      <c r="Z680" s="11"/>
    </row>
    <row r="681">
      <c r="A681" s="18"/>
      <c r="B681" s="11"/>
      <c r="C681" s="11"/>
      <c r="D681" s="11"/>
      <c r="E681" s="11"/>
      <c r="F681" s="11"/>
      <c r="G681" s="11"/>
      <c r="H681" s="11"/>
      <c r="I681" s="11"/>
      <c r="J681" s="11"/>
      <c r="K681" s="11"/>
      <c r="L681" s="15"/>
      <c r="M681" s="15"/>
      <c r="N681" s="15"/>
      <c r="O681" s="15"/>
      <c r="P681" s="15"/>
      <c r="Q681" s="11"/>
      <c r="R681" s="11"/>
      <c r="S681" s="11"/>
      <c r="T681" s="11"/>
      <c r="U681" s="15"/>
      <c r="V681" s="11"/>
      <c r="W681" s="11"/>
      <c r="X681" s="11"/>
      <c r="Y681" s="11"/>
      <c r="Z681" s="11"/>
    </row>
    <row r="682">
      <c r="A682" s="18"/>
      <c r="B682" s="11"/>
      <c r="C682" s="11"/>
      <c r="D682" s="11"/>
      <c r="E682" s="11"/>
      <c r="F682" s="11"/>
      <c r="G682" s="11"/>
      <c r="H682" s="11"/>
      <c r="I682" s="11"/>
      <c r="J682" s="11"/>
      <c r="K682" s="11"/>
      <c r="L682" s="15"/>
      <c r="M682" s="15"/>
      <c r="N682" s="15"/>
      <c r="O682" s="15"/>
      <c r="P682" s="15"/>
      <c r="Q682" s="11"/>
      <c r="R682" s="11"/>
      <c r="S682" s="11"/>
      <c r="T682" s="11"/>
      <c r="U682" s="15"/>
      <c r="V682" s="11"/>
      <c r="W682" s="11"/>
      <c r="X682" s="11"/>
      <c r="Y682" s="11"/>
      <c r="Z682" s="11"/>
    </row>
    <row r="683">
      <c r="A683" s="18"/>
      <c r="B683" s="11"/>
      <c r="C683" s="11"/>
      <c r="D683" s="11"/>
      <c r="E683" s="11"/>
      <c r="F683" s="11"/>
      <c r="G683" s="11"/>
      <c r="H683" s="11"/>
      <c r="I683" s="11"/>
      <c r="J683" s="11"/>
      <c r="K683" s="11"/>
      <c r="L683" s="15"/>
      <c r="M683" s="15"/>
      <c r="N683" s="15"/>
      <c r="O683" s="15"/>
      <c r="P683" s="15"/>
      <c r="Q683" s="11"/>
      <c r="R683" s="11"/>
      <c r="S683" s="11"/>
      <c r="T683" s="11"/>
      <c r="U683" s="15"/>
      <c r="V683" s="11"/>
      <c r="W683" s="11"/>
      <c r="X683" s="11"/>
      <c r="Y683" s="11"/>
      <c r="Z683" s="11"/>
    </row>
    <row r="684">
      <c r="A684" s="18"/>
      <c r="B684" s="11"/>
      <c r="C684" s="11"/>
      <c r="D684" s="11"/>
      <c r="E684" s="11"/>
      <c r="F684" s="11"/>
      <c r="G684" s="11"/>
      <c r="H684" s="11"/>
      <c r="I684" s="11"/>
      <c r="J684" s="11"/>
      <c r="K684" s="11"/>
      <c r="L684" s="15"/>
      <c r="M684" s="15"/>
      <c r="N684" s="15"/>
      <c r="O684" s="15"/>
      <c r="P684" s="15"/>
      <c r="Q684" s="11"/>
      <c r="R684" s="11"/>
      <c r="S684" s="11"/>
      <c r="T684" s="11"/>
      <c r="U684" s="15"/>
      <c r="V684" s="11"/>
      <c r="W684" s="11"/>
      <c r="X684" s="11"/>
      <c r="Y684" s="11"/>
      <c r="Z684" s="11"/>
    </row>
    <row r="685">
      <c r="A685" s="18"/>
      <c r="B685" s="11"/>
      <c r="C685" s="11"/>
      <c r="D685" s="11"/>
      <c r="E685" s="11"/>
      <c r="F685" s="11"/>
      <c r="G685" s="11"/>
      <c r="H685" s="11"/>
      <c r="I685" s="11"/>
      <c r="J685" s="11"/>
      <c r="K685" s="11"/>
      <c r="L685" s="15"/>
      <c r="M685" s="15"/>
      <c r="N685" s="15"/>
      <c r="O685" s="15"/>
      <c r="P685" s="15"/>
      <c r="Q685" s="11"/>
      <c r="R685" s="11"/>
      <c r="S685" s="11"/>
      <c r="T685" s="11"/>
      <c r="U685" s="15"/>
      <c r="V685" s="11"/>
      <c r="W685" s="11"/>
      <c r="X685" s="11"/>
      <c r="Y685" s="11"/>
      <c r="Z685" s="11"/>
    </row>
    <row r="686">
      <c r="A686" s="18"/>
      <c r="B686" s="11"/>
      <c r="C686" s="11"/>
      <c r="D686" s="11"/>
      <c r="E686" s="11"/>
      <c r="F686" s="11"/>
      <c r="G686" s="11"/>
      <c r="H686" s="11"/>
      <c r="I686" s="11"/>
      <c r="J686" s="11"/>
      <c r="K686" s="11"/>
      <c r="L686" s="15"/>
      <c r="M686" s="15"/>
      <c r="N686" s="15"/>
      <c r="O686" s="15"/>
      <c r="P686" s="15"/>
      <c r="Q686" s="11"/>
      <c r="R686" s="11"/>
      <c r="S686" s="11"/>
      <c r="T686" s="11"/>
      <c r="U686" s="15"/>
      <c r="V686" s="11"/>
      <c r="W686" s="11"/>
      <c r="X686" s="11"/>
      <c r="Y686" s="11"/>
      <c r="Z686" s="11"/>
    </row>
    <row r="687">
      <c r="A687" s="18"/>
      <c r="B687" s="11"/>
      <c r="C687" s="11"/>
      <c r="D687" s="11"/>
      <c r="E687" s="11"/>
      <c r="F687" s="11"/>
      <c r="G687" s="11"/>
      <c r="H687" s="11"/>
      <c r="I687" s="11"/>
      <c r="J687" s="11"/>
      <c r="K687" s="11"/>
      <c r="L687" s="15"/>
      <c r="M687" s="15"/>
      <c r="N687" s="15"/>
      <c r="O687" s="15"/>
      <c r="P687" s="15"/>
      <c r="Q687" s="11"/>
      <c r="R687" s="11"/>
      <c r="S687" s="11"/>
      <c r="T687" s="11"/>
      <c r="U687" s="15"/>
      <c r="V687" s="11"/>
      <c r="W687" s="11"/>
      <c r="X687" s="11"/>
      <c r="Y687" s="11"/>
      <c r="Z687" s="11"/>
    </row>
    <row r="688">
      <c r="A688" s="18"/>
      <c r="B688" s="11"/>
      <c r="C688" s="11"/>
      <c r="D688" s="11"/>
      <c r="E688" s="11"/>
      <c r="F688" s="11"/>
      <c r="G688" s="11"/>
      <c r="H688" s="11"/>
      <c r="I688" s="11"/>
      <c r="J688" s="11"/>
      <c r="K688" s="11"/>
      <c r="L688" s="15"/>
      <c r="M688" s="15"/>
      <c r="N688" s="15"/>
      <c r="O688" s="15"/>
      <c r="P688" s="15"/>
      <c r="Q688" s="11"/>
      <c r="R688" s="11"/>
      <c r="S688" s="11"/>
      <c r="T688" s="11"/>
      <c r="U688" s="15"/>
      <c r="V688" s="11"/>
      <c r="W688" s="11"/>
      <c r="X688" s="11"/>
      <c r="Y688" s="11"/>
      <c r="Z688" s="11"/>
    </row>
    <row r="689">
      <c r="A689" s="18"/>
      <c r="B689" s="11"/>
      <c r="C689" s="11"/>
      <c r="D689" s="11"/>
      <c r="E689" s="11"/>
      <c r="F689" s="11"/>
      <c r="G689" s="11"/>
      <c r="H689" s="11"/>
      <c r="I689" s="11"/>
      <c r="J689" s="11"/>
      <c r="K689" s="11"/>
      <c r="L689" s="15"/>
      <c r="M689" s="15"/>
      <c r="N689" s="15"/>
      <c r="O689" s="15"/>
      <c r="P689" s="15"/>
      <c r="Q689" s="11"/>
      <c r="R689" s="11"/>
      <c r="S689" s="11"/>
      <c r="T689" s="11"/>
      <c r="U689" s="15"/>
      <c r="V689" s="11"/>
      <c r="W689" s="11"/>
      <c r="X689" s="11"/>
      <c r="Y689" s="11"/>
      <c r="Z689" s="11"/>
    </row>
    <row r="690">
      <c r="A690" s="18"/>
      <c r="B690" s="11"/>
      <c r="C690" s="11"/>
      <c r="D690" s="11"/>
      <c r="E690" s="11"/>
      <c r="F690" s="11"/>
      <c r="G690" s="11"/>
      <c r="H690" s="11"/>
      <c r="I690" s="11"/>
      <c r="J690" s="11"/>
      <c r="K690" s="11"/>
      <c r="L690" s="15"/>
      <c r="M690" s="15"/>
      <c r="N690" s="15"/>
      <c r="O690" s="15"/>
      <c r="P690" s="15"/>
      <c r="Q690" s="11"/>
      <c r="R690" s="11"/>
      <c r="S690" s="11"/>
      <c r="T690" s="11"/>
      <c r="U690" s="15"/>
      <c r="V690" s="11"/>
      <c r="W690" s="11"/>
      <c r="X690" s="11"/>
      <c r="Y690" s="11"/>
      <c r="Z690" s="11"/>
    </row>
    <row r="691">
      <c r="A691" s="18"/>
      <c r="B691" s="11"/>
      <c r="C691" s="11"/>
      <c r="D691" s="11"/>
      <c r="E691" s="11"/>
      <c r="F691" s="11"/>
      <c r="G691" s="11"/>
      <c r="H691" s="11"/>
      <c r="I691" s="11"/>
      <c r="J691" s="11"/>
      <c r="K691" s="11"/>
      <c r="L691" s="15"/>
      <c r="M691" s="15"/>
      <c r="N691" s="15"/>
      <c r="O691" s="15"/>
      <c r="P691" s="15"/>
      <c r="Q691" s="11"/>
      <c r="R691" s="11"/>
      <c r="S691" s="11"/>
      <c r="T691" s="11"/>
      <c r="U691" s="15"/>
      <c r="V691" s="11"/>
      <c r="W691" s="11"/>
      <c r="X691" s="11"/>
      <c r="Y691" s="11"/>
      <c r="Z691" s="11"/>
    </row>
    <row r="692">
      <c r="A692" s="18"/>
      <c r="B692" s="11"/>
      <c r="C692" s="11"/>
      <c r="D692" s="11"/>
      <c r="E692" s="11"/>
      <c r="F692" s="11"/>
      <c r="G692" s="11"/>
      <c r="H692" s="11"/>
      <c r="I692" s="11"/>
      <c r="J692" s="11"/>
      <c r="K692" s="11"/>
      <c r="L692" s="15"/>
      <c r="M692" s="15"/>
      <c r="N692" s="15"/>
      <c r="O692" s="15"/>
      <c r="P692" s="15"/>
      <c r="Q692" s="11"/>
      <c r="R692" s="11"/>
      <c r="S692" s="11"/>
      <c r="T692" s="11"/>
      <c r="U692" s="15"/>
      <c r="V692" s="11"/>
      <c r="W692" s="11"/>
      <c r="X692" s="11"/>
      <c r="Y692" s="11"/>
      <c r="Z692" s="11"/>
    </row>
    <row r="693">
      <c r="A693" s="18"/>
      <c r="B693" s="11"/>
      <c r="C693" s="11"/>
      <c r="D693" s="11"/>
      <c r="E693" s="11"/>
      <c r="F693" s="11"/>
      <c r="G693" s="11"/>
      <c r="H693" s="11"/>
      <c r="I693" s="11"/>
      <c r="J693" s="11"/>
      <c r="K693" s="11"/>
      <c r="L693" s="15"/>
      <c r="M693" s="15"/>
      <c r="N693" s="15"/>
      <c r="O693" s="15"/>
      <c r="P693" s="15"/>
      <c r="Q693" s="11"/>
      <c r="R693" s="11"/>
      <c r="S693" s="11"/>
      <c r="T693" s="11"/>
      <c r="U693" s="15"/>
      <c r="V693" s="11"/>
      <c r="W693" s="11"/>
      <c r="X693" s="11"/>
      <c r="Y693" s="11"/>
      <c r="Z693" s="11"/>
    </row>
    <row r="694">
      <c r="A694" s="18"/>
      <c r="B694" s="11"/>
      <c r="C694" s="11"/>
      <c r="D694" s="11"/>
      <c r="E694" s="11"/>
      <c r="F694" s="11"/>
      <c r="G694" s="11"/>
      <c r="H694" s="11"/>
      <c r="I694" s="11"/>
      <c r="J694" s="11"/>
      <c r="K694" s="11"/>
      <c r="L694" s="15"/>
      <c r="M694" s="15"/>
      <c r="N694" s="15"/>
      <c r="O694" s="15"/>
      <c r="P694" s="15"/>
      <c r="Q694" s="11"/>
      <c r="R694" s="11"/>
      <c r="S694" s="11"/>
      <c r="T694" s="11"/>
      <c r="U694" s="15"/>
      <c r="V694" s="11"/>
      <c r="W694" s="11"/>
      <c r="X694" s="11"/>
      <c r="Y694" s="11"/>
      <c r="Z694" s="11"/>
    </row>
    <row r="695">
      <c r="A695" s="18"/>
      <c r="B695" s="11"/>
      <c r="C695" s="11"/>
      <c r="D695" s="11"/>
      <c r="E695" s="11"/>
      <c r="F695" s="11"/>
      <c r="G695" s="11"/>
      <c r="H695" s="11"/>
      <c r="I695" s="11"/>
      <c r="J695" s="11"/>
      <c r="K695" s="11"/>
      <c r="L695" s="15"/>
      <c r="M695" s="15"/>
      <c r="N695" s="15"/>
      <c r="O695" s="15"/>
      <c r="P695" s="15"/>
      <c r="Q695" s="11"/>
      <c r="R695" s="11"/>
      <c r="S695" s="11"/>
      <c r="T695" s="11"/>
      <c r="U695" s="15"/>
      <c r="V695" s="11"/>
      <c r="W695" s="11"/>
      <c r="X695" s="11"/>
      <c r="Y695" s="11"/>
      <c r="Z695" s="11"/>
    </row>
    <row r="696">
      <c r="A696" s="18"/>
      <c r="B696" s="11"/>
      <c r="C696" s="11"/>
      <c r="D696" s="11"/>
      <c r="E696" s="11"/>
      <c r="F696" s="11"/>
      <c r="G696" s="11"/>
      <c r="H696" s="11"/>
      <c r="I696" s="11"/>
      <c r="J696" s="11"/>
      <c r="K696" s="11"/>
      <c r="L696" s="15"/>
      <c r="M696" s="15"/>
      <c r="N696" s="15"/>
      <c r="O696" s="15"/>
      <c r="P696" s="15"/>
      <c r="Q696" s="11"/>
      <c r="R696" s="11"/>
      <c r="S696" s="11"/>
      <c r="T696" s="11"/>
      <c r="U696" s="15"/>
      <c r="V696" s="11"/>
      <c r="W696" s="11"/>
      <c r="X696" s="11"/>
      <c r="Y696" s="11"/>
      <c r="Z696" s="11"/>
    </row>
    <row r="697">
      <c r="A697" s="18"/>
      <c r="B697" s="11"/>
      <c r="C697" s="11"/>
      <c r="D697" s="11"/>
      <c r="E697" s="11"/>
      <c r="F697" s="11"/>
      <c r="G697" s="11"/>
      <c r="H697" s="11"/>
      <c r="I697" s="11"/>
      <c r="J697" s="11"/>
      <c r="K697" s="11"/>
      <c r="L697" s="15"/>
      <c r="M697" s="15"/>
      <c r="N697" s="15"/>
      <c r="O697" s="15"/>
      <c r="P697" s="15"/>
      <c r="Q697" s="11"/>
      <c r="R697" s="11"/>
      <c r="S697" s="11"/>
      <c r="T697" s="11"/>
      <c r="U697" s="15"/>
      <c r="V697" s="11"/>
      <c r="W697" s="11"/>
      <c r="X697" s="11"/>
      <c r="Y697" s="11"/>
      <c r="Z697" s="11"/>
    </row>
    <row r="698">
      <c r="A698" s="18"/>
      <c r="B698" s="11"/>
      <c r="C698" s="11"/>
      <c r="D698" s="11"/>
      <c r="E698" s="11"/>
      <c r="F698" s="11"/>
      <c r="G698" s="11"/>
      <c r="H698" s="11"/>
      <c r="I698" s="11"/>
      <c r="J698" s="11"/>
      <c r="K698" s="11"/>
      <c r="L698" s="15"/>
      <c r="M698" s="15"/>
      <c r="N698" s="15"/>
      <c r="O698" s="15"/>
      <c r="P698" s="15"/>
      <c r="Q698" s="11"/>
      <c r="R698" s="11"/>
      <c r="S698" s="11"/>
      <c r="T698" s="11"/>
      <c r="U698" s="15"/>
      <c r="V698" s="11"/>
      <c r="W698" s="11"/>
      <c r="X698" s="11"/>
      <c r="Y698" s="11"/>
      <c r="Z698" s="11"/>
    </row>
    <row r="699">
      <c r="A699" s="18"/>
      <c r="B699" s="11"/>
      <c r="C699" s="11"/>
      <c r="D699" s="11"/>
      <c r="E699" s="11"/>
      <c r="F699" s="11"/>
      <c r="G699" s="11"/>
      <c r="H699" s="11"/>
      <c r="I699" s="11"/>
      <c r="J699" s="11"/>
      <c r="K699" s="11"/>
      <c r="L699" s="15"/>
      <c r="M699" s="15"/>
      <c r="N699" s="15"/>
      <c r="O699" s="15"/>
      <c r="P699" s="15"/>
      <c r="Q699" s="11"/>
      <c r="R699" s="11"/>
      <c r="S699" s="11"/>
      <c r="T699" s="11"/>
      <c r="U699" s="15"/>
      <c r="V699" s="11"/>
      <c r="W699" s="11"/>
      <c r="X699" s="11"/>
      <c r="Y699" s="11"/>
      <c r="Z699" s="11"/>
    </row>
    <row r="700">
      <c r="A700" s="18"/>
      <c r="B700" s="11"/>
      <c r="C700" s="11"/>
      <c r="D700" s="11"/>
      <c r="E700" s="11"/>
      <c r="F700" s="11"/>
      <c r="G700" s="11"/>
      <c r="H700" s="11"/>
      <c r="I700" s="11"/>
      <c r="J700" s="11"/>
      <c r="K700" s="11"/>
      <c r="L700" s="15"/>
      <c r="M700" s="15"/>
      <c r="N700" s="15"/>
      <c r="O700" s="15"/>
      <c r="P700" s="15"/>
      <c r="Q700" s="11"/>
      <c r="R700" s="11"/>
      <c r="S700" s="11"/>
      <c r="T700" s="11"/>
      <c r="U700" s="15"/>
      <c r="V700" s="11"/>
      <c r="W700" s="11"/>
      <c r="X700" s="11"/>
      <c r="Y700" s="11"/>
      <c r="Z700" s="11"/>
    </row>
    <row r="701">
      <c r="A701" s="18"/>
      <c r="B701" s="11"/>
      <c r="C701" s="11"/>
      <c r="D701" s="11"/>
      <c r="E701" s="11"/>
      <c r="F701" s="11"/>
      <c r="G701" s="11"/>
      <c r="H701" s="11"/>
      <c r="I701" s="11"/>
      <c r="J701" s="11"/>
      <c r="K701" s="11"/>
      <c r="L701" s="15"/>
      <c r="M701" s="15"/>
      <c r="N701" s="15"/>
      <c r="O701" s="15"/>
      <c r="P701" s="15"/>
      <c r="Q701" s="11"/>
      <c r="R701" s="11"/>
      <c r="S701" s="11"/>
      <c r="T701" s="11"/>
      <c r="U701" s="15"/>
      <c r="V701" s="11"/>
      <c r="W701" s="11"/>
      <c r="X701" s="11"/>
      <c r="Y701" s="11"/>
      <c r="Z701" s="11"/>
    </row>
    <row r="702">
      <c r="A702" s="18"/>
      <c r="B702" s="11"/>
      <c r="C702" s="11"/>
      <c r="D702" s="11"/>
      <c r="E702" s="11"/>
      <c r="F702" s="11"/>
      <c r="G702" s="11"/>
      <c r="H702" s="11"/>
      <c r="I702" s="11"/>
      <c r="J702" s="11"/>
      <c r="K702" s="11"/>
      <c r="L702" s="15"/>
      <c r="M702" s="15"/>
      <c r="N702" s="15"/>
      <c r="O702" s="15"/>
      <c r="P702" s="15"/>
      <c r="Q702" s="11"/>
      <c r="R702" s="11"/>
      <c r="S702" s="11"/>
      <c r="T702" s="11"/>
      <c r="U702" s="15"/>
      <c r="V702" s="11"/>
      <c r="W702" s="11"/>
      <c r="X702" s="11"/>
      <c r="Y702" s="11"/>
      <c r="Z702" s="11"/>
    </row>
    <row r="703">
      <c r="A703" s="18"/>
      <c r="B703" s="11"/>
      <c r="C703" s="11"/>
      <c r="D703" s="11"/>
      <c r="E703" s="11"/>
      <c r="F703" s="11"/>
      <c r="G703" s="11"/>
      <c r="H703" s="11"/>
      <c r="I703" s="11"/>
      <c r="J703" s="11"/>
      <c r="K703" s="11"/>
      <c r="L703" s="15"/>
      <c r="M703" s="15"/>
      <c r="N703" s="15"/>
      <c r="O703" s="15"/>
      <c r="P703" s="15"/>
      <c r="Q703" s="11"/>
      <c r="R703" s="11"/>
      <c r="S703" s="11"/>
      <c r="T703" s="11"/>
      <c r="U703" s="15"/>
      <c r="V703" s="11"/>
      <c r="W703" s="11"/>
      <c r="X703" s="11"/>
      <c r="Y703" s="11"/>
      <c r="Z703" s="11"/>
    </row>
    <row r="704">
      <c r="A704" s="18"/>
      <c r="B704" s="11"/>
      <c r="C704" s="11"/>
      <c r="D704" s="11"/>
      <c r="E704" s="11"/>
      <c r="F704" s="11"/>
      <c r="G704" s="11"/>
      <c r="H704" s="11"/>
      <c r="I704" s="11"/>
      <c r="J704" s="11"/>
      <c r="K704" s="11"/>
      <c r="L704" s="15"/>
      <c r="M704" s="15"/>
      <c r="N704" s="15"/>
      <c r="O704" s="15"/>
      <c r="P704" s="15"/>
      <c r="Q704" s="11"/>
      <c r="R704" s="11"/>
      <c r="S704" s="11"/>
      <c r="T704" s="11"/>
      <c r="U704" s="15"/>
      <c r="V704" s="11"/>
      <c r="W704" s="11"/>
      <c r="X704" s="11"/>
      <c r="Y704" s="11"/>
      <c r="Z704" s="11"/>
    </row>
    <row r="705">
      <c r="A705" s="18"/>
      <c r="B705" s="11"/>
      <c r="C705" s="11"/>
      <c r="D705" s="11"/>
      <c r="E705" s="11"/>
      <c r="F705" s="11"/>
      <c r="G705" s="11"/>
      <c r="H705" s="11"/>
      <c r="I705" s="11"/>
      <c r="J705" s="11"/>
      <c r="K705" s="11"/>
      <c r="L705" s="15"/>
      <c r="M705" s="15"/>
      <c r="N705" s="15"/>
      <c r="O705" s="15"/>
      <c r="P705" s="15"/>
      <c r="Q705" s="11"/>
      <c r="R705" s="11"/>
      <c r="S705" s="11"/>
      <c r="T705" s="11"/>
      <c r="U705" s="15"/>
      <c r="V705" s="11"/>
      <c r="W705" s="11"/>
      <c r="X705" s="11"/>
      <c r="Y705" s="11"/>
      <c r="Z705" s="11"/>
    </row>
    <row r="706">
      <c r="A706" s="18"/>
      <c r="B706" s="11"/>
      <c r="C706" s="11"/>
      <c r="D706" s="11"/>
      <c r="E706" s="11"/>
      <c r="F706" s="11"/>
      <c r="G706" s="11"/>
      <c r="H706" s="11"/>
      <c r="I706" s="11"/>
      <c r="J706" s="11"/>
      <c r="K706" s="11"/>
      <c r="L706" s="15"/>
      <c r="M706" s="15"/>
      <c r="N706" s="15"/>
      <c r="O706" s="15"/>
      <c r="P706" s="15"/>
      <c r="Q706" s="11"/>
      <c r="R706" s="11"/>
      <c r="S706" s="11"/>
      <c r="T706" s="11"/>
      <c r="U706" s="15"/>
      <c r="V706" s="11"/>
      <c r="W706" s="11"/>
      <c r="X706" s="11"/>
      <c r="Y706" s="11"/>
      <c r="Z706" s="11"/>
    </row>
    <row r="707">
      <c r="A707" s="18"/>
      <c r="B707" s="11"/>
      <c r="C707" s="11"/>
      <c r="D707" s="11"/>
      <c r="E707" s="11"/>
      <c r="F707" s="11"/>
      <c r="G707" s="11"/>
      <c r="H707" s="11"/>
      <c r="I707" s="11"/>
      <c r="J707" s="11"/>
      <c r="K707" s="11"/>
      <c r="L707" s="15"/>
      <c r="M707" s="15"/>
      <c r="N707" s="15"/>
      <c r="O707" s="15"/>
      <c r="P707" s="15"/>
      <c r="Q707" s="11"/>
      <c r="R707" s="11"/>
      <c r="S707" s="11"/>
      <c r="T707" s="11"/>
      <c r="U707" s="15"/>
      <c r="V707" s="11"/>
      <c r="W707" s="11"/>
      <c r="X707" s="11"/>
      <c r="Y707" s="11"/>
      <c r="Z707" s="11"/>
    </row>
    <row r="708">
      <c r="A708" s="18"/>
      <c r="B708" s="11"/>
      <c r="C708" s="11"/>
      <c r="D708" s="11"/>
      <c r="E708" s="11"/>
      <c r="F708" s="11"/>
      <c r="G708" s="11"/>
      <c r="H708" s="11"/>
      <c r="I708" s="11"/>
      <c r="J708" s="11"/>
      <c r="K708" s="11"/>
      <c r="L708" s="15"/>
      <c r="M708" s="15"/>
      <c r="N708" s="15"/>
      <c r="O708" s="15"/>
      <c r="P708" s="15"/>
      <c r="Q708" s="11"/>
      <c r="R708" s="11"/>
      <c r="S708" s="11"/>
      <c r="T708" s="11"/>
      <c r="U708" s="15"/>
      <c r="V708" s="11"/>
      <c r="W708" s="11"/>
      <c r="X708" s="11"/>
      <c r="Y708" s="11"/>
      <c r="Z708" s="11"/>
    </row>
    <row r="709">
      <c r="A709" s="18"/>
      <c r="B709" s="11"/>
      <c r="C709" s="11"/>
      <c r="D709" s="11"/>
      <c r="E709" s="11"/>
      <c r="F709" s="11"/>
      <c r="G709" s="11"/>
      <c r="H709" s="11"/>
      <c r="I709" s="11"/>
      <c r="J709" s="11"/>
      <c r="K709" s="11"/>
      <c r="L709" s="15"/>
      <c r="M709" s="15"/>
      <c r="N709" s="15"/>
      <c r="O709" s="15"/>
      <c r="P709" s="15"/>
      <c r="Q709" s="11"/>
      <c r="R709" s="11"/>
      <c r="S709" s="11"/>
      <c r="T709" s="11"/>
      <c r="U709" s="15"/>
      <c r="V709" s="11"/>
      <c r="W709" s="11"/>
      <c r="X709" s="11"/>
      <c r="Y709" s="11"/>
      <c r="Z709" s="11"/>
    </row>
    <row r="710">
      <c r="A710" s="18"/>
      <c r="B710" s="11"/>
      <c r="C710" s="11"/>
      <c r="D710" s="11"/>
      <c r="E710" s="11"/>
      <c r="F710" s="11"/>
      <c r="G710" s="11"/>
      <c r="H710" s="11"/>
      <c r="I710" s="11"/>
      <c r="J710" s="11"/>
      <c r="K710" s="11"/>
      <c r="L710" s="15"/>
      <c r="M710" s="15"/>
      <c r="N710" s="15"/>
      <c r="O710" s="15"/>
      <c r="P710" s="15"/>
      <c r="Q710" s="11"/>
      <c r="R710" s="11"/>
      <c r="S710" s="11"/>
      <c r="T710" s="11"/>
      <c r="U710" s="15"/>
      <c r="V710" s="11"/>
      <c r="W710" s="11"/>
      <c r="X710" s="11"/>
      <c r="Y710" s="11"/>
      <c r="Z710" s="11"/>
    </row>
    <row r="711">
      <c r="A711" s="18"/>
      <c r="B711" s="11"/>
      <c r="C711" s="11"/>
      <c r="D711" s="11"/>
      <c r="E711" s="11"/>
      <c r="F711" s="11"/>
      <c r="G711" s="11"/>
      <c r="H711" s="11"/>
      <c r="I711" s="11"/>
      <c r="J711" s="11"/>
      <c r="K711" s="11"/>
      <c r="L711" s="15"/>
      <c r="M711" s="15"/>
      <c r="N711" s="15"/>
      <c r="O711" s="15"/>
      <c r="P711" s="15"/>
      <c r="Q711" s="11"/>
      <c r="R711" s="11"/>
      <c r="S711" s="11"/>
      <c r="T711" s="11"/>
      <c r="U711" s="15"/>
      <c r="V711" s="11"/>
      <c r="W711" s="11"/>
      <c r="X711" s="11"/>
      <c r="Y711" s="11"/>
      <c r="Z711" s="11"/>
    </row>
    <row r="712">
      <c r="A712" s="18"/>
      <c r="B712" s="11"/>
      <c r="C712" s="11"/>
      <c r="D712" s="11"/>
      <c r="E712" s="11"/>
      <c r="F712" s="11"/>
      <c r="G712" s="11"/>
      <c r="H712" s="11"/>
      <c r="I712" s="11"/>
      <c r="J712" s="11"/>
      <c r="K712" s="11"/>
      <c r="L712" s="15"/>
      <c r="M712" s="15"/>
      <c r="N712" s="15"/>
      <c r="O712" s="15"/>
      <c r="P712" s="15"/>
      <c r="Q712" s="11"/>
      <c r="R712" s="11"/>
      <c r="S712" s="11"/>
      <c r="T712" s="11"/>
      <c r="U712" s="15"/>
      <c r="V712" s="11"/>
      <c r="W712" s="11"/>
      <c r="X712" s="11"/>
      <c r="Y712" s="11"/>
      <c r="Z712" s="11"/>
    </row>
    <row r="713">
      <c r="A713" s="18"/>
      <c r="B713" s="11"/>
      <c r="C713" s="11"/>
      <c r="D713" s="11"/>
      <c r="E713" s="11"/>
      <c r="F713" s="11"/>
      <c r="G713" s="11"/>
      <c r="H713" s="11"/>
      <c r="I713" s="11"/>
      <c r="J713" s="11"/>
      <c r="K713" s="11"/>
      <c r="L713" s="15"/>
      <c r="M713" s="15"/>
      <c r="N713" s="15"/>
      <c r="O713" s="15"/>
      <c r="P713" s="15"/>
      <c r="Q713" s="11"/>
      <c r="R713" s="11"/>
      <c r="S713" s="11"/>
      <c r="T713" s="11"/>
      <c r="U713" s="15"/>
      <c r="V713" s="11"/>
      <c r="W713" s="11"/>
      <c r="X713" s="11"/>
      <c r="Y713" s="11"/>
      <c r="Z713" s="11"/>
    </row>
    <row r="714">
      <c r="A714" s="18"/>
      <c r="B714" s="11"/>
      <c r="C714" s="11"/>
      <c r="D714" s="11"/>
      <c r="E714" s="11"/>
      <c r="F714" s="11"/>
      <c r="G714" s="11"/>
      <c r="H714" s="11"/>
      <c r="I714" s="11"/>
      <c r="J714" s="11"/>
      <c r="K714" s="11"/>
      <c r="L714" s="15"/>
      <c r="M714" s="15"/>
      <c r="N714" s="15"/>
      <c r="O714" s="15"/>
      <c r="P714" s="15"/>
      <c r="Q714" s="11"/>
      <c r="R714" s="11"/>
      <c r="S714" s="11"/>
      <c r="T714" s="11"/>
      <c r="U714" s="15"/>
      <c r="V714" s="11"/>
      <c r="W714" s="11"/>
      <c r="X714" s="11"/>
      <c r="Y714" s="11"/>
      <c r="Z714" s="11"/>
    </row>
    <row r="715">
      <c r="A715" s="18"/>
      <c r="B715" s="11"/>
      <c r="C715" s="11"/>
      <c r="D715" s="11"/>
      <c r="E715" s="11"/>
      <c r="F715" s="11"/>
      <c r="G715" s="11"/>
      <c r="H715" s="11"/>
      <c r="I715" s="11"/>
      <c r="J715" s="11"/>
      <c r="K715" s="11"/>
      <c r="L715" s="15"/>
      <c r="M715" s="15"/>
      <c r="N715" s="15"/>
      <c r="O715" s="15"/>
      <c r="P715" s="15"/>
      <c r="Q715" s="11"/>
      <c r="R715" s="11"/>
      <c r="S715" s="11"/>
      <c r="T715" s="11"/>
      <c r="U715" s="15"/>
      <c r="V715" s="11"/>
      <c r="W715" s="11"/>
      <c r="X715" s="11"/>
      <c r="Y715" s="11"/>
      <c r="Z715" s="11"/>
    </row>
    <row r="716">
      <c r="A716" s="18"/>
      <c r="B716" s="11"/>
      <c r="C716" s="11"/>
      <c r="D716" s="11"/>
      <c r="E716" s="11"/>
      <c r="F716" s="11"/>
      <c r="G716" s="11"/>
      <c r="H716" s="11"/>
      <c r="I716" s="11"/>
      <c r="J716" s="11"/>
      <c r="K716" s="11"/>
      <c r="L716" s="15"/>
      <c r="M716" s="15"/>
      <c r="N716" s="15"/>
      <c r="O716" s="15"/>
      <c r="P716" s="15"/>
      <c r="Q716" s="11"/>
      <c r="R716" s="11"/>
      <c r="S716" s="11"/>
      <c r="T716" s="11"/>
      <c r="U716" s="15"/>
      <c r="V716" s="11"/>
      <c r="W716" s="11"/>
      <c r="X716" s="11"/>
      <c r="Y716" s="11"/>
      <c r="Z716" s="11"/>
    </row>
    <row r="717">
      <c r="A717" s="18"/>
      <c r="B717" s="11"/>
      <c r="C717" s="11"/>
      <c r="D717" s="11"/>
      <c r="E717" s="11"/>
      <c r="F717" s="11"/>
      <c r="G717" s="11"/>
      <c r="H717" s="11"/>
      <c r="I717" s="11"/>
      <c r="J717" s="11"/>
      <c r="K717" s="11"/>
      <c r="L717" s="15"/>
      <c r="M717" s="15"/>
      <c r="N717" s="15"/>
      <c r="O717" s="15"/>
      <c r="P717" s="15"/>
      <c r="Q717" s="11"/>
      <c r="R717" s="11"/>
      <c r="S717" s="11"/>
      <c r="T717" s="11"/>
      <c r="U717" s="15"/>
      <c r="V717" s="11"/>
      <c r="W717" s="11"/>
      <c r="X717" s="11"/>
      <c r="Y717" s="11"/>
      <c r="Z717" s="11"/>
    </row>
    <row r="718">
      <c r="A718" s="18"/>
      <c r="B718" s="11"/>
      <c r="C718" s="11"/>
      <c r="D718" s="11"/>
      <c r="E718" s="11"/>
      <c r="F718" s="11"/>
      <c r="G718" s="11"/>
      <c r="H718" s="11"/>
      <c r="I718" s="11"/>
      <c r="J718" s="11"/>
      <c r="K718" s="11"/>
      <c r="L718" s="15"/>
      <c r="M718" s="15"/>
      <c r="N718" s="15"/>
      <c r="O718" s="15"/>
      <c r="P718" s="15"/>
      <c r="Q718" s="11"/>
      <c r="R718" s="11"/>
      <c r="S718" s="11"/>
      <c r="T718" s="11"/>
      <c r="U718" s="15"/>
      <c r="V718" s="11"/>
      <c r="W718" s="11"/>
      <c r="X718" s="11"/>
      <c r="Y718" s="11"/>
      <c r="Z718" s="11"/>
    </row>
    <row r="719">
      <c r="A719" s="18"/>
      <c r="B719" s="11"/>
      <c r="C719" s="11"/>
      <c r="D719" s="11"/>
      <c r="E719" s="11"/>
      <c r="F719" s="11"/>
      <c r="G719" s="11"/>
      <c r="H719" s="11"/>
      <c r="I719" s="11"/>
      <c r="J719" s="11"/>
      <c r="K719" s="11"/>
      <c r="L719" s="15"/>
      <c r="M719" s="15"/>
      <c r="N719" s="15"/>
      <c r="O719" s="15"/>
      <c r="P719" s="15"/>
      <c r="Q719" s="11"/>
      <c r="R719" s="11"/>
      <c r="S719" s="11"/>
      <c r="T719" s="11"/>
      <c r="U719" s="15"/>
      <c r="V719" s="11"/>
      <c r="W719" s="11"/>
      <c r="X719" s="11"/>
      <c r="Y719" s="11"/>
      <c r="Z719" s="11"/>
    </row>
    <row r="720">
      <c r="A720" s="18"/>
      <c r="B720" s="11"/>
      <c r="C720" s="11"/>
      <c r="D720" s="11"/>
      <c r="E720" s="11"/>
      <c r="F720" s="11"/>
      <c r="G720" s="11"/>
      <c r="H720" s="11"/>
      <c r="I720" s="11"/>
      <c r="J720" s="11"/>
      <c r="K720" s="11"/>
      <c r="L720" s="15"/>
      <c r="M720" s="15"/>
      <c r="N720" s="15"/>
      <c r="O720" s="15"/>
      <c r="P720" s="15"/>
      <c r="Q720" s="11"/>
      <c r="R720" s="11"/>
      <c r="S720" s="11"/>
      <c r="T720" s="11"/>
      <c r="U720" s="15"/>
      <c r="V720" s="11"/>
      <c r="W720" s="11"/>
      <c r="X720" s="11"/>
      <c r="Y720" s="11"/>
      <c r="Z720" s="11"/>
    </row>
    <row r="721">
      <c r="A721" s="18"/>
      <c r="B721" s="11"/>
      <c r="C721" s="11"/>
      <c r="D721" s="11"/>
      <c r="E721" s="11"/>
      <c r="F721" s="11"/>
      <c r="G721" s="11"/>
      <c r="H721" s="11"/>
      <c r="I721" s="11"/>
      <c r="J721" s="11"/>
      <c r="K721" s="11"/>
      <c r="L721" s="15"/>
      <c r="M721" s="15"/>
      <c r="N721" s="15"/>
      <c r="O721" s="15"/>
      <c r="P721" s="15"/>
      <c r="Q721" s="11"/>
      <c r="R721" s="11"/>
      <c r="S721" s="11"/>
      <c r="T721" s="11"/>
      <c r="U721" s="15"/>
      <c r="V721" s="11"/>
      <c r="W721" s="11"/>
      <c r="X721" s="11"/>
      <c r="Y721" s="11"/>
      <c r="Z721" s="11"/>
    </row>
    <row r="722">
      <c r="A722" s="18"/>
      <c r="B722" s="11"/>
      <c r="C722" s="11"/>
      <c r="D722" s="11"/>
      <c r="E722" s="11"/>
      <c r="F722" s="11"/>
      <c r="G722" s="11"/>
      <c r="H722" s="11"/>
      <c r="I722" s="11"/>
      <c r="J722" s="11"/>
      <c r="K722" s="11"/>
      <c r="L722" s="15"/>
      <c r="M722" s="15"/>
      <c r="N722" s="15"/>
      <c r="O722" s="15"/>
      <c r="P722" s="15"/>
      <c r="Q722" s="11"/>
      <c r="R722" s="11"/>
      <c r="S722" s="11"/>
      <c r="T722" s="11"/>
      <c r="U722" s="15"/>
      <c r="V722" s="11"/>
      <c r="W722" s="11"/>
      <c r="X722" s="11"/>
      <c r="Y722" s="11"/>
      <c r="Z722" s="11"/>
    </row>
    <row r="723">
      <c r="A723" s="18"/>
      <c r="B723" s="11"/>
      <c r="C723" s="11"/>
      <c r="D723" s="11"/>
      <c r="E723" s="11"/>
      <c r="F723" s="11"/>
      <c r="G723" s="11"/>
      <c r="H723" s="11"/>
      <c r="I723" s="11"/>
      <c r="J723" s="11"/>
      <c r="K723" s="11"/>
      <c r="L723" s="15"/>
      <c r="M723" s="15"/>
      <c r="N723" s="15"/>
      <c r="O723" s="15"/>
      <c r="P723" s="15"/>
      <c r="Q723" s="11"/>
      <c r="R723" s="11"/>
      <c r="S723" s="11"/>
      <c r="T723" s="11"/>
      <c r="U723" s="15"/>
      <c r="V723" s="11"/>
      <c r="W723" s="11"/>
      <c r="X723" s="11"/>
      <c r="Y723" s="11"/>
      <c r="Z723" s="11"/>
    </row>
    <row r="724">
      <c r="A724" s="18"/>
      <c r="B724" s="11"/>
      <c r="C724" s="11"/>
      <c r="D724" s="11"/>
      <c r="E724" s="11"/>
      <c r="F724" s="11"/>
      <c r="G724" s="11"/>
      <c r="H724" s="11"/>
      <c r="I724" s="11"/>
      <c r="J724" s="11"/>
      <c r="K724" s="11"/>
      <c r="L724" s="15"/>
      <c r="M724" s="15"/>
      <c r="N724" s="15"/>
      <c r="O724" s="15"/>
      <c r="P724" s="15"/>
      <c r="Q724" s="11"/>
      <c r="R724" s="11"/>
      <c r="S724" s="11"/>
      <c r="T724" s="11"/>
      <c r="U724" s="15"/>
      <c r="V724" s="11"/>
      <c r="W724" s="11"/>
      <c r="X724" s="11"/>
      <c r="Y724" s="11"/>
      <c r="Z724" s="11"/>
    </row>
    <row r="725">
      <c r="A725" s="18"/>
      <c r="B725" s="11"/>
      <c r="C725" s="11"/>
      <c r="D725" s="11"/>
      <c r="E725" s="11"/>
      <c r="F725" s="11"/>
      <c r="G725" s="11"/>
      <c r="H725" s="11"/>
      <c r="I725" s="11"/>
      <c r="J725" s="11"/>
      <c r="K725" s="11"/>
      <c r="L725" s="15"/>
      <c r="M725" s="15"/>
      <c r="N725" s="15"/>
      <c r="O725" s="15"/>
      <c r="P725" s="15"/>
      <c r="Q725" s="11"/>
      <c r="R725" s="11"/>
      <c r="S725" s="11"/>
      <c r="T725" s="11"/>
      <c r="U725" s="15"/>
      <c r="V725" s="11"/>
      <c r="W725" s="11"/>
      <c r="X725" s="11"/>
      <c r="Y725" s="11"/>
      <c r="Z725" s="11"/>
    </row>
    <row r="726">
      <c r="A726" s="18"/>
      <c r="B726" s="11"/>
      <c r="C726" s="11"/>
      <c r="D726" s="11"/>
      <c r="E726" s="11"/>
      <c r="F726" s="11"/>
      <c r="G726" s="11"/>
      <c r="H726" s="11"/>
      <c r="I726" s="11"/>
      <c r="J726" s="11"/>
      <c r="K726" s="11"/>
      <c r="L726" s="15"/>
      <c r="M726" s="15"/>
      <c r="N726" s="15"/>
      <c r="O726" s="15"/>
      <c r="P726" s="15"/>
      <c r="Q726" s="11"/>
      <c r="R726" s="11"/>
      <c r="S726" s="11"/>
      <c r="T726" s="11"/>
      <c r="U726" s="15"/>
      <c r="V726" s="11"/>
      <c r="W726" s="11"/>
      <c r="X726" s="11"/>
      <c r="Y726" s="11"/>
      <c r="Z726" s="11"/>
    </row>
    <row r="727">
      <c r="A727" s="18"/>
      <c r="B727" s="11"/>
      <c r="C727" s="11"/>
      <c r="D727" s="11"/>
      <c r="E727" s="11"/>
      <c r="F727" s="11"/>
      <c r="G727" s="11"/>
      <c r="H727" s="11"/>
      <c r="I727" s="11"/>
      <c r="J727" s="11"/>
      <c r="K727" s="11"/>
      <c r="L727" s="15"/>
      <c r="M727" s="15"/>
      <c r="N727" s="15"/>
      <c r="O727" s="15"/>
      <c r="P727" s="15"/>
      <c r="Q727" s="11"/>
      <c r="R727" s="11"/>
      <c r="S727" s="11"/>
      <c r="T727" s="11"/>
      <c r="U727" s="15"/>
      <c r="V727" s="11"/>
      <c r="W727" s="11"/>
      <c r="X727" s="11"/>
      <c r="Y727" s="11"/>
      <c r="Z727" s="11"/>
    </row>
    <row r="728">
      <c r="A728" s="18"/>
      <c r="B728" s="11"/>
      <c r="C728" s="11"/>
      <c r="D728" s="11"/>
      <c r="E728" s="11"/>
      <c r="F728" s="11"/>
      <c r="G728" s="11"/>
      <c r="H728" s="11"/>
      <c r="I728" s="11"/>
      <c r="J728" s="11"/>
      <c r="K728" s="11"/>
      <c r="L728" s="15"/>
      <c r="M728" s="15"/>
      <c r="N728" s="15"/>
      <c r="O728" s="15"/>
      <c r="P728" s="15"/>
      <c r="Q728" s="11"/>
      <c r="R728" s="11"/>
      <c r="S728" s="11"/>
      <c r="T728" s="11"/>
      <c r="U728" s="15"/>
      <c r="V728" s="11"/>
      <c r="W728" s="11"/>
      <c r="X728" s="11"/>
      <c r="Y728" s="11"/>
      <c r="Z728" s="11"/>
    </row>
    <row r="729">
      <c r="A729" s="18"/>
      <c r="B729" s="11"/>
      <c r="C729" s="11"/>
      <c r="D729" s="11"/>
      <c r="E729" s="11"/>
      <c r="F729" s="11"/>
      <c r="G729" s="11"/>
      <c r="H729" s="11"/>
      <c r="I729" s="11"/>
      <c r="J729" s="11"/>
      <c r="K729" s="11"/>
      <c r="L729" s="15"/>
      <c r="M729" s="15"/>
      <c r="N729" s="15"/>
      <c r="O729" s="15"/>
      <c r="P729" s="15"/>
      <c r="Q729" s="11"/>
      <c r="R729" s="11"/>
      <c r="S729" s="11"/>
      <c r="T729" s="11"/>
      <c r="U729" s="15"/>
      <c r="V729" s="11"/>
      <c r="W729" s="11"/>
      <c r="X729" s="11"/>
      <c r="Y729" s="11"/>
      <c r="Z729" s="11"/>
    </row>
    <row r="730">
      <c r="A730" s="18"/>
      <c r="B730" s="11"/>
      <c r="C730" s="11"/>
      <c r="D730" s="11"/>
      <c r="E730" s="11"/>
      <c r="F730" s="11"/>
      <c r="G730" s="11"/>
      <c r="H730" s="11"/>
      <c r="I730" s="11"/>
      <c r="J730" s="11"/>
      <c r="K730" s="11"/>
      <c r="L730" s="15"/>
      <c r="M730" s="15"/>
      <c r="N730" s="15"/>
      <c r="O730" s="15"/>
      <c r="P730" s="15"/>
      <c r="Q730" s="11"/>
      <c r="R730" s="11"/>
      <c r="S730" s="11"/>
      <c r="T730" s="11"/>
      <c r="U730" s="15"/>
      <c r="V730" s="11"/>
      <c r="W730" s="11"/>
      <c r="X730" s="11"/>
      <c r="Y730" s="11"/>
      <c r="Z730" s="11"/>
    </row>
    <row r="731">
      <c r="A731" s="18"/>
      <c r="B731" s="11"/>
      <c r="C731" s="11"/>
      <c r="D731" s="11"/>
      <c r="E731" s="11"/>
      <c r="F731" s="11"/>
      <c r="G731" s="11"/>
      <c r="H731" s="11"/>
      <c r="I731" s="11"/>
      <c r="J731" s="11"/>
      <c r="K731" s="11"/>
      <c r="L731" s="15"/>
      <c r="M731" s="15"/>
      <c r="N731" s="15"/>
      <c r="O731" s="15"/>
      <c r="P731" s="15"/>
      <c r="Q731" s="11"/>
      <c r="R731" s="11"/>
      <c r="S731" s="11"/>
      <c r="T731" s="11"/>
      <c r="U731" s="15"/>
      <c r="V731" s="11"/>
      <c r="W731" s="11"/>
      <c r="X731" s="11"/>
      <c r="Y731" s="11"/>
      <c r="Z731" s="11"/>
    </row>
    <row r="732">
      <c r="A732" s="18"/>
      <c r="B732" s="11"/>
      <c r="C732" s="11"/>
      <c r="D732" s="11"/>
      <c r="E732" s="11"/>
      <c r="F732" s="11"/>
      <c r="G732" s="11"/>
      <c r="H732" s="11"/>
      <c r="I732" s="11"/>
      <c r="J732" s="11"/>
      <c r="K732" s="11"/>
      <c r="L732" s="15"/>
      <c r="M732" s="15"/>
      <c r="N732" s="15"/>
      <c r="O732" s="15"/>
      <c r="P732" s="15"/>
      <c r="Q732" s="11"/>
      <c r="R732" s="11"/>
      <c r="S732" s="11"/>
      <c r="T732" s="11"/>
      <c r="U732" s="15"/>
      <c r="V732" s="11"/>
      <c r="W732" s="11"/>
      <c r="X732" s="11"/>
      <c r="Y732" s="11"/>
      <c r="Z732" s="11"/>
    </row>
    <row r="733">
      <c r="A733" s="18"/>
      <c r="B733" s="11"/>
      <c r="C733" s="11"/>
      <c r="D733" s="11"/>
      <c r="E733" s="11"/>
      <c r="F733" s="11"/>
      <c r="G733" s="11"/>
      <c r="H733" s="11"/>
      <c r="I733" s="11"/>
      <c r="J733" s="11"/>
      <c r="K733" s="11"/>
      <c r="L733" s="15"/>
      <c r="M733" s="15"/>
      <c r="N733" s="15"/>
      <c r="O733" s="15"/>
      <c r="P733" s="15"/>
      <c r="Q733" s="11"/>
      <c r="R733" s="11"/>
      <c r="S733" s="11"/>
      <c r="T733" s="11"/>
      <c r="U733" s="15"/>
      <c r="V733" s="11"/>
      <c r="W733" s="11"/>
      <c r="X733" s="11"/>
      <c r="Y733" s="11"/>
      <c r="Z733" s="11"/>
    </row>
    <row r="734">
      <c r="A734" s="18"/>
      <c r="B734" s="11"/>
      <c r="C734" s="11"/>
      <c r="D734" s="11"/>
      <c r="E734" s="11"/>
      <c r="F734" s="11"/>
      <c r="G734" s="11"/>
      <c r="H734" s="11"/>
      <c r="I734" s="11"/>
      <c r="J734" s="11"/>
      <c r="K734" s="11"/>
      <c r="L734" s="15"/>
      <c r="M734" s="15"/>
      <c r="N734" s="15"/>
      <c r="O734" s="15"/>
      <c r="P734" s="15"/>
      <c r="Q734" s="11"/>
      <c r="R734" s="11"/>
      <c r="S734" s="11"/>
      <c r="T734" s="11"/>
      <c r="U734" s="15"/>
      <c r="V734" s="11"/>
      <c r="W734" s="11"/>
      <c r="X734" s="11"/>
      <c r="Y734" s="11"/>
      <c r="Z734" s="11"/>
    </row>
    <row r="735">
      <c r="A735" s="18"/>
      <c r="B735" s="11"/>
      <c r="C735" s="11"/>
      <c r="D735" s="11"/>
      <c r="E735" s="11"/>
      <c r="F735" s="11"/>
      <c r="G735" s="11"/>
      <c r="H735" s="11"/>
      <c r="I735" s="11"/>
      <c r="J735" s="11"/>
      <c r="K735" s="11"/>
      <c r="L735" s="15"/>
      <c r="M735" s="15"/>
      <c r="N735" s="15"/>
      <c r="O735" s="15"/>
      <c r="P735" s="15"/>
      <c r="Q735" s="11"/>
      <c r="R735" s="11"/>
      <c r="S735" s="11"/>
      <c r="T735" s="11"/>
      <c r="U735" s="15"/>
      <c r="V735" s="11"/>
      <c r="W735" s="11"/>
      <c r="X735" s="11"/>
      <c r="Y735" s="11"/>
      <c r="Z735" s="11"/>
    </row>
    <row r="736">
      <c r="A736" s="18"/>
      <c r="B736" s="11"/>
      <c r="C736" s="11"/>
      <c r="D736" s="11"/>
      <c r="E736" s="11"/>
      <c r="F736" s="11"/>
      <c r="G736" s="11"/>
      <c r="H736" s="11"/>
      <c r="I736" s="11"/>
      <c r="J736" s="11"/>
      <c r="K736" s="11"/>
      <c r="L736" s="15"/>
      <c r="M736" s="15"/>
      <c r="N736" s="15"/>
      <c r="O736" s="15"/>
      <c r="P736" s="15"/>
      <c r="Q736" s="11"/>
      <c r="R736" s="11"/>
      <c r="S736" s="11"/>
      <c r="T736" s="11"/>
      <c r="U736" s="15"/>
      <c r="V736" s="11"/>
      <c r="W736" s="11"/>
      <c r="X736" s="11"/>
      <c r="Y736" s="11"/>
      <c r="Z736" s="11"/>
    </row>
    <row r="737">
      <c r="A737" s="18"/>
      <c r="B737" s="11"/>
      <c r="C737" s="11"/>
      <c r="D737" s="11"/>
      <c r="E737" s="11"/>
      <c r="F737" s="11"/>
      <c r="G737" s="11"/>
      <c r="H737" s="11"/>
      <c r="I737" s="11"/>
      <c r="J737" s="11"/>
      <c r="K737" s="11"/>
      <c r="L737" s="15"/>
      <c r="M737" s="15"/>
      <c r="N737" s="15"/>
      <c r="O737" s="15"/>
      <c r="P737" s="15"/>
      <c r="Q737" s="11"/>
      <c r="R737" s="11"/>
      <c r="S737" s="11"/>
      <c r="T737" s="11"/>
      <c r="U737" s="15"/>
      <c r="V737" s="11"/>
      <c r="W737" s="11"/>
      <c r="X737" s="11"/>
      <c r="Y737" s="11"/>
      <c r="Z737" s="11"/>
    </row>
    <row r="738">
      <c r="A738" s="18"/>
      <c r="B738" s="11"/>
      <c r="C738" s="11"/>
      <c r="D738" s="11"/>
      <c r="E738" s="11"/>
      <c r="F738" s="11"/>
      <c r="G738" s="11"/>
      <c r="H738" s="11"/>
      <c r="I738" s="11"/>
      <c r="J738" s="11"/>
      <c r="K738" s="11"/>
      <c r="L738" s="15"/>
      <c r="M738" s="15"/>
      <c r="N738" s="15"/>
      <c r="O738" s="15"/>
      <c r="P738" s="15"/>
      <c r="Q738" s="11"/>
      <c r="R738" s="11"/>
      <c r="S738" s="11"/>
      <c r="T738" s="11"/>
      <c r="U738" s="15"/>
      <c r="V738" s="11"/>
      <c r="W738" s="11"/>
      <c r="X738" s="11"/>
      <c r="Y738" s="11"/>
      <c r="Z738" s="11"/>
    </row>
    <row r="739">
      <c r="A739" s="18"/>
      <c r="B739" s="11"/>
      <c r="C739" s="11"/>
      <c r="D739" s="11"/>
      <c r="E739" s="11"/>
      <c r="F739" s="11"/>
      <c r="G739" s="11"/>
      <c r="H739" s="11"/>
      <c r="I739" s="11"/>
      <c r="J739" s="11"/>
      <c r="K739" s="11"/>
      <c r="L739" s="15"/>
      <c r="M739" s="15"/>
      <c r="N739" s="15"/>
      <c r="O739" s="15"/>
      <c r="P739" s="15"/>
      <c r="Q739" s="11"/>
      <c r="R739" s="11"/>
      <c r="S739" s="11"/>
      <c r="T739" s="11"/>
      <c r="U739" s="15"/>
      <c r="V739" s="11"/>
      <c r="W739" s="11"/>
      <c r="X739" s="11"/>
      <c r="Y739" s="11"/>
      <c r="Z739" s="11"/>
    </row>
    <row r="740">
      <c r="A740" s="18"/>
      <c r="B740" s="11"/>
      <c r="C740" s="11"/>
      <c r="D740" s="11"/>
      <c r="E740" s="11"/>
      <c r="F740" s="11"/>
      <c r="G740" s="11"/>
      <c r="H740" s="11"/>
      <c r="I740" s="11"/>
      <c r="J740" s="11"/>
      <c r="K740" s="11"/>
      <c r="L740" s="15"/>
      <c r="M740" s="15"/>
      <c r="N740" s="15"/>
      <c r="O740" s="15"/>
      <c r="P740" s="15"/>
      <c r="Q740" s="11"/>
      <c r="R740" s="11"/>
      <c r="S740" s="11"/>
      <c r="T740" s="11"/>
      <c r="U740" s="15"/>
      <c r="V740" s="11"/>
      <c r="W740" s="11"/>
      <c r="X740" s="11"/>
      <c r="Y740" s="11"/>
      <c r="Z740" s="11"/>
    </row>
    <row r="741">
      <c r="A741" s="18"/>
      <c r="B741" s="11"/>
      <c r="C741" s="11"/>
      <c r="D741" s="11"/>
      <c r="E741" s="11"/>
      <c r="F741" s="11"/>
      <c r="G741" s="11"/>
      <c r="H741" s="11"/>
      <c r="I741" s="11"/>
      <c r="J741" s="11"/>
      <c r="K741" s="11"/>
      <c r="L741" s="15"/>
      <c r="M741" s="15"/>
      <c r="N741" s="15"/>
      <c r="O741" s="15"/>
      <c r="P741" s="15"/>
      <c r="Q741" s="11"/>
      <c r="R741" s="11"/>
      <c r="S741" s="11"/>
      <c r="T741" s="11"/>
      <c r="U741" s="15"/>
      <c r="V741" s="11"/>
      <c r="W741" s="11"/>
      <c r="X741" s="11"/>
      <c r="Y741" s="11"/>
      <c r="Z741" s="11"/>
    </row>
    <row r="742">
      <c r="A742" s="18"/>
      <c r="B742" s="11"/>
      <c r="C742" s="11"/>
      <c r="D742" s="11"/>
      <c r="E742" s="11"/>
      <c r="F742" s="11"/>
      <c r="G742" s="11"/>
      <c r="H742" s="11"/>
      <c r="I742" s="11"/>
      <c r="J742" s="11"/>
      <c r="K742" s="11"/>
      <c r="L742" s="15"/>
      <c r="M742" s="15"/>
      <c r="N742" s="15"/>
      <c r="O742" s="15"/>
      <c r="P742" s="15"/>
      <c r="Q742" s="11"/>
      <c r="R742" s="11"/>
      <c r="S742" s="11"/>
      <c r="T742" s="11"/>
      <c r="U742" s="15"/>
      <c r="V742" s="11"/>
      <c r="W742" s="11"/>
      <c r="X742" s="11"/>
      <c r="Y742" s="11"/>
      <c r="Z742" s="11"/>
    </row>
    <row r="743">
      <c r="A743" s="18"/>
      <c r="B743" s="11"/>
      <c r="C743" s="11"/>
      <c r="D743" s="11"/>
      <c r="E743" s="11"/>
      <c r="F743" s="11"/>
      <c r="G743" s="11"/>
      <c r="H743" s="11"/>
      <c r="I743" s="11"/>
      <c r="J743" s="11"/>
      <c r="K743" s="11"/>
      <c r="L743" s="15"/>
      <c r="M743" s="15"/>
      <c r="N743" s="15"/>
      <c r="O743" s="15"/>
      <c r="P743" s="15"/>
      <c r="Q743" s="11"/>
      <c r="R743" s="11"/>
      <c r="S743" s="11"/>
      <c r="T743" s="11"/>
      <c r="U743" s="15"/>
      <c r="V743" s="11"/>
      <c r="W743" s="11"/>
      <c r="X743" s="11"/>
      <c r="Y743" s="11"/>
      <c r="Z743" s="11"/>
    </row>
    <row r="744">
      <c r="A744" s="18"/>
      <c r="B744" s="11"/>
      <c r="C744" s="11"/>
      <c r="D744" s="11"/>
      <c r="E744" s="11"/>
      <c r="F744" s="11"/>
      <c r="G744" s="11"/>
      <c r="H744" s="11"/>
      <c r="I744" s="11"/>
      <c r="J744" s="11"/>
      <c r="K744" s="11"/>
      <c r="L744" s="15"/>
      <c r="M744" s="15"/>
      <c r="N744" s="15"/>
      <c r="O744" s="15"/>
      <c r="P744" s="15"/>
      <c r="Q744" s="11"/>
      <c r="R744" s="11"/>
      <c r="S744" s="11"/>
      <c r="T744" s="11"/>
      <c r="U744" s="15"/>
      <c r="V744" s="11"/>
      <c r="W744" s="11"/>
      <c r="X744" s="11"/>
      <c r="Y744" s="11"/>
      <c r="Z744" s="11"/>
    </row>
    <row r="745">
      <c r="A745" s="18"/>
      <c r="B745" s="11"/>
      <c r="C745" s="11"/>
      <c r="D745" s="11"/>
      <c r="E745" s="11"/>
      <c r="F745" s="11"/>
      <c r="G745" s="11"/>
      <c r="H745" s="11"/>
      <c r="I745" s="11"/>
      <c r="J745" s="11"/>
      <c r="K745" s="11"/>
      <c r="L745" s="15"/>
      <c r="M745" s="15"/>
      <c r="N745" s="15"/>
      <c r="O745" s="15"/>
      <c r="P745" s="15"/>
      <c r="Q745" s="11"/>
      <c r="R745" s="11"/>
      <c r="S745" s="11"/>
      <c r="T745" s="11"/>
      <c r="U745" s="15"/>
      <c r="V745" s="11"/>
      <c r="W745" s="11"/>
      <c r="X745" s="11"/>
      <c r="Y745" s="11"/>
      <c r="Z745" s="11"/>
    </row>
    <row r="746">
      <c r="A746" s="18"/>
      <c r="B746" s="11"/>
      <c r="C746" s="11"/>
      <c r="D746" s="11"/>
      <c r="E746" s="11"/>
      <c r="F746" s="11"/>
      <c r="G746" s="11"/>
      <c r="H746" s="11"/>
      <c r="I746" s="11"/>
      <c r="J746" s="11"/>
      <c r="K746" s="11"/>
      <c r="L746" s="15"/>
      <c r="M746" s="15"/>
      <c r="N746" s="15"/>
      <c r="O746" s="15"/>
      <c r="P746" s="15"/>
      <c r="Q746" s="11"/>
      <c r="R746" s="11"/>
      <c r="S746" s="11"/>
      <c r="T746" s="11"/>
      <c r="U746" s="15"/>
      <c r="V746" s="11"/>
      <c r="W746" s="11"/>
      <c r="X746" s="11"/>
      <c r="Y746" s="11"/>
      <c r="Z746" s="11"/>
    </row>
    <row r="747">
      <c r="A747" s="18"/>
      <c r="B747" s="11"/>
      <c r="C747" s="11"/>
      <c r="D747" s="11"/>
      <c r="E747" s="11"/>
      <c r="F747" s="11"/>
      <c r="G747" s="11"/>
      <c r="H747" s="11"/>
      <c r="I747" s="11"/>
      <c r="J747" s="11"/>
      <c r="K747" s="11"/>
      <c r="L747" s="15"/>
      <c r="M747" s="15"/>
      <c r="N747" s="15"/>
      <c r="O747" s="15"/>
      <c r="P747" s="15"/>
      <c r="Q747" s="11"/>
      <c r="R747" s="11"/>
      <c r="S747" s="11"/>
      <c r="T747" s="11"/>
      <c r="U747" s="15"/>
      <c r="V747" s="11"/>
      <c r="W747" s="11"/>
      <c r="X747" s="11"/>
      <c r="Y747" s="11"/>
      <c r="Z747" s="11"/>
    </row>
    <row r="748">
      <c r="A748" s="18"/>
      <c r="B748" s="11"/>
      <c r="C748" s="11"/>
      <c r="D748" s="11"/>
      <c r="E748" s="11"/>
      <c r="F748" s="11"/>
      <c r="G748" s="11"/>
      <c r="H748" s="11"/>
      <c r="I748" s="11"/>
      <c r="J748" s="11"/>
      <c r="K748" s="11"/>
      <c r="L748" s="15"/>
      <c r="M748" s="15"/>
      <c r="N748" s="15"/>
      <c r="O748" s="15"/>
      <c r="P748" s="15"/>
      <c r="Q748" s="11"/>
      <c r="R748" s="11"/>
      <c r="S748" s="11"/>
      <c r="T748" s="11"/>
      <c r="U748" s="15"/>
      <c r="V748" s="11"/>
      <c r="W748" s="11"/>
      <c r="X748" s="11"/>
      <c r="Y748" s="11"/>
      <c r="Z748" s="11"/>
    </row>
    <row r="749">
      <c r="A749" s="18"/>
      <c r="B749" s="11"/>
      <c r="C749" s="11"/>
      <c r="D749" s="11"/>
      <c r="E749" s="11"/>
      <c r="F749" s="11"/>
      <c r="G749" s="11"/>
      <c r="H749" s="11"/>
      <c r="I749" s="11"/>
      <c r="J749" s="11"/>
      <c r="K749" s="11"/>
      <c r="L749" s="15"/>
      <c r="M749" s="15"/>
      <c r="N749" s="15"/>
      <c r="O749" s="15"/>
      <c r="P749" s="15"/>
      <c r="Q749" s="11"/>
      <c r="R749" s="11"/>
      <c r="S749" s="11"/>
      <c r="T749" s="11"/>
      <c r="U749" s="15"/>
      <c r="V749" s="11"/>
      <c r="W749" s="11"/>
      <c r="X749" s="11"/>
      <c r="Y749" s="11"/>
      <c r="Z749" s="11"/>
    </row>
    <row r="750">
      <c r="A750" s="18"/>
      <c r="B750" s="11"/>
      <c r="C750" s="11"/>
      <c r="D750" s="11"/>
      <c r="E750" s="11"/>
      <c r="F750" s="11"/>
      <c r="G750" s="11"/>
      <c r="H750" s="11"/>
      <c r="I750" s="11"/>
      <c r="J750" s="11"/>
      <c r="K750" s="11"/>
      <c r="L750" s="15"/>
      <c r="M750" s="15"/>
      <c r="N750" s="15"/>
      <c r="O750" s="15"/>
      <c r="P750" s="15"/>
      <c r="Q750" s="11"/>
      <c r="R750" s="11"/>
      <c r="S750" s="11"/>
      <c r="T750" s="11"/>
      <c r="U750" s="15"/>
      <c r="V750" s="11"/>
      <c r="W750" s="11"/>
      <c r="X750" s="11"/>
      <c r="Y750" s="11"/>
      <c r="Z750" s="11"/>
    </row>
    <row r="751">
      <c r="A751" s="18"/>
      <c r="B751" s="11"/>
      <c r="C751" s="11"/>
      <c r="D751" s="11"/>
      <c r="E751" s="11"/>
      <c r="F751" s="11"/>
      <c r="G751" s="11"/>
      <c r="H751" s="11"/>
      <c r="I751" s="11"/>
      <c r="J751" s="11"/>
      <c r="K751" s="11"/>
      <c r="L751" s="15"/>
      <c r="M751" s="15"/>
      <c r="N751" s="15"/>
      <c r="O751" s="15"/>
      <c r="P751" s="15"/>
      <c r="Q751" s="11"/>
      <c r="R751" s="11"/>
      <c r="S751" s="11"/>
      <c r="T751" s="11"/>
      <c r="U751" s="15"/>
      <c r="V751" s="11"/>
      <c r="W751" s="11"/>
      <c r="X751" s="11"/>
      <c r="Y751" s="11"/>
      <c r="Z751" s="11"/>
    </row>
    <row r="752">
      <c r="A752" s="18"/>
      <c r="B752" s="11"/>
      <c r="C752" s="11"/>
      <c r="D752" s="11"/>
      <c r="E752" s="11"/>
      <c r="F752" s="11"/>
      <c r="G752" s="11"/>
      <c r="H752" s="11"/>
      <c r="I752" s="11"/>
      <c r="J752" s="11"/>
      <c r="K752" s="11"/>
      <c r="L752" s="15"/>
      <c r="M752" s="15"/>
      <c r="N752" s="15"/>
      <c r="O752" s="15"/>
      <c r="P752" s="15"/>
      <c r="Q752" s="11"/>
      <c r="R752" s="11"/>
      <c r="S752" s="11"/>
      <c r="T752" s="11"/>
      <c r="U752" s="15"/>
      <c r="V752" s="11"/>
      <c r="W752" s="11"/>
      <c r="X752" s="11"/>
      <c r="Y752" s="11"/>
      <c r="Z752" s="11"/>
    </row>
    <row r="753">
      <c r="A753" s="18"/>
      <c r="B753" s="11"/>
      <c r="C753" s="11"/>
      <c r="D753" s="11"/>
      <c r="E753" s="11"/>
      <c r="F753" s="11"/>
      <c r="G753" s="11"/>
      <c r="H753" s="11"/>
      <c r="I753" s="11"/>
      <c r="J753" s="11"/>
      <c r="K753" s="11"/>
      <c r="L753" s="15"/>
      <c r="M753" s="15"/>
      <c r="N753" s="15"/>
      <c r="O753" s="15"/>
      <c r="P753" s="15"/>
      <c r="Q753" s="11"/>
      <c r="R753" s="11"/>
      <c r="S753" s="11"/>
      <c r="T753" s="11"/>
      <c r="U753" s="15"/>
      <c r="V753" s="11"/>
      <c r="W753" s="11"/>
      <c r="X753" s="11"/>
      <c r="Y753" s="11"/>
      <c r="Z753" s="11"/>
    </row>
    <row r="754">
      <c r="A754" s="18"/>
      <c r="B754" s="11"/>
      <c r="C754" s="11"/>
      <c r="D754" s="11"/>
      <c r="E754" s="11"/>
      <c r="F754" s="11"/>
      <c r="G754" s="11"/>
      <c r="H754" s="11"/>
      <c r="I754" s="11"/>
      <c r="J754" s="11"/>
      <c r="K754" s="11"/>
      <c r="L754" s="15"/>
      <c r="M754" s="15"/>
      <c r="N754" s="15"/>
      <c r="O754" s="15"/>
      <c r="P754" s="15"/>
      <c r="Q754" s="11"/>
      <c r="R754" s="11"/>
      <c r="S754" s="11"/>
      <c r="T754" s="11"/>
      <c r="U754" s="15"/>
      <c r="V754" s="11"/>
      <c r="W754" s="11"/>
      <c r="X754" s="11"/>
      <c r="Y754" s="11"/>
      <c r="Z754" s="11"/>
    </row>
    <row r="755">
      <c r="A755" s="18"/>
      <c r="B755" s="11"/>
      <c r="C755" s="11"/>
      <c r="D755" s="11"/>
      <c r="E755" s="11"/>
      <c r="F755" s="11"/>
      <c r="G755" s="11"/>
      <c r="H755" s="11"/>
      <c r="I755" s="11"/>
      <c r="J755" s="11"/>
      <c r="K755" s="11"/>
      <c r="L755" s="15"/>
      <c r="M755" s="15"/>
      <c r="N755" s="15"/>
      <c r="O755" s="15"/>
      <c r="P755" s="15"/>
      <c r="Q755" s="11"/>
      <c r="R755" s="11"/>
      <c r="S755" s="11"/>
      <c r="T755" s="11"/>
      <c r="U755" s="15"/>
      <c r="V755" s="11"/>
      <c r="W755" s="11"/>
      <c r="X755" s="11"/>
      <c r="Y755" s="11"/>
      <c r="Z755" s="11"/>
    </row>
    <row r="756">
      <c r="A756" s="18"/>
      <c r="B756" s="11"/>
      <c r="C756" s="11"/>
      <c r="D756" s="11"/>
      <c r="E756" s="11"/>
      <c r="F756" s="11"/>
      <c r="G756" s="11"/>
      <c r="H756" s="11"/>
      <c r="I756" s="11"/>
      <c r="J756" s="11"/>
      <c r="K756" s="11"/>
      <c r="L756" s="15"/>
      <c r="M756" s="15"/>
      <c r="N756" s="15"/>
      <c r="O756" s="15"/>
      <c r="P756" s="15"/>
      <c r="Q756" s="11"/>
      <c r="R756" s="11"/>
      <c r="S756" s="11"/>
      <c r="T756" s="11"/>
      <c r="U756" s="15"/>
      <c r="V756" s="11"/>
      <c r="W756" s="11"/>
      <c r="X756" s="11"/>
      <c r="Y756" s="11"/>
      <c r="Z756" s="11"/>
    </row>
    <row r="757">
      <c r="A757" s="18"/>
      <c r="B757" s="11"/>
      <c r="C757" s="11"/>
      <c r="D757" s="11"/>
      <c r="E757" s="11"/>
      <c r="F757" s="11"/>
      <c r="G757" s="11"/>
      <c r="H757" s="11"/>
      <c r="I757" s="11"/>
      <c r="J757" s="11"/>
      <c r="K757" s="11"/>
      <c r="L757" s="15"/>
      <c r="M757" s="15"/>
      <c r="N757" s="15"/>
      <c r="O757" s="15"/>
      <c r="P757" s="15"/>
      <c r="Q757" s="11"/>
      <c r="R757" s="11"/>
      <c r="S757" s="11"/>
      <c r="T757" s="11"/>
      <c r="U757" s="15"/>
      <c r="V757" s="11"/>
      <c r="W757" s="11"/>
      <c r="X757" s="11"/>
      <c r="Y757" s="11"/>
      <c r="Z757" s="11"/>
    </row>
    <row r="758">
      <c r="A758" s="18"/>
      <c r="B758" s="11"/>
      <c r="C758" s="11"/>
      <c r="D758" s="11"/>
      <c r="E758" s="11"/>
      <c r="F758" s="11"/>
      <c r="G758" s="11"/>
      <c r="H758" s="11"/>
      <c r="I758" s="11"/>
      <c r="J758" s="11"/>
      <c r="K758" s="11"/>
      <c r="L758" s="15"/>
      <c r="M758" s="15"/>
      <c r="N758" s="15"/>
      <c r="O758" s="15"/>
      <c r="P758" s="15"/>
      <c r="Q758" s="11"/>
      <c r="R758" s="11"/>
      <c r="S758" s="11"/>
      <c r="T758" s="11"/>
      <c r="U758" s="15"/>
      <c r="V758" s="11"/>
      <c r="W758" s="11"/>
      <c r="X758" s="11"/>
      <c r="Y758" s="11"/>
      <c r="Z758" s="11"/>
    </row>
    <row r="759">
      <c r="A759" s="18"/>
      <c r="B759" s="11"/>
      <c r="C759" s="11"/>
      <c r="D759" s="11"/>
      <c r="E759" s="11"/>
      <c r="F759" s="11"/>
      <c r="G759" s="11"/>
      <c r="H759" s="11"/>
      <c r="I759" s="11"/>
      <c r="J759" s="11"/>
      <c r="K759" s="11"/>
      <c r="L759" s="15"/>
      <c r="M759" s="15"/>
      <c r="N759" s="15"/>
      <c r="O759" s="15"/>
      <c r="P759" s="15"/>
      <c r="Q759" s="11"/>
      <c r="R759" s="11"/>
      <c r="S759" s="11"/>
      <c r="T759" s="11"/>
      <c r="U759" s="15"/>
      <c r="V759" s="11"/>
      <c r="W759" s="11"/>
      <c r="X759" s="11"/>
      <c r="Y759" s="11"/>
      <c r="Z759" s="11"/>
    </row>
    <row r="760">
      <c r="A760" s="18"/>
      <c r="B760" s="11"/>
      <c r="C760" s="11"/>
      <c r="D760" s="11"/>
      <c r="E760" s="11"/>
      <c r="F760" s="11"/>
      <c r="G760" s="11"/>
      <c r="H760" s="11"/>
      <c r="I760" s="11"/>
      <c r="J760" s="11"/>
      <c r="K760" s="11"/>
      <c r="L760" s="15"/>
      <c r="M760" s="15"/>
      <c r="N760" s="15"/>
      <c r="O760" s="15"/>
      <c r="P760" s="15"/>
      <c r="Q760" s="11"/>
      <c r="R760" s="11"/>
      <c r="S760" s="11"/>
      <c r="T760" s="11"/>
      <c r="U760" s="15"/>
      <c r="V760" s="11"/>
      <c r="W760" s="11"/>
      <c r="X760" s="11"/>
      <c r="Y760" s="11"/>
      <c r="Z760" s="11"/>
    </row>
    <row r="761">
      <c r="A761" s="18"/>
      <c r="B761" s="11"/>
      <c r="C761" s="11"/>
      <c r="D761" s="11"/>
      <c r="E761" s="11"/>
      <c r="F761" s="11"/>
      <c r="G761" s="11"/>
      <c r="H761" s="11"/>
      <c r="I761" s="11"/>
      <c r="J761" s="11"/>
      <c r="K761" s="11"/>
      <c r="L761" s="15"/>
      <c r="M761" s="15"/>
      <c r="N761" s="15"/>
      <c r="O761" s="15"/>
      <c r="P761" s="15"/>
      <c r="Q761" s="11"/>
      <c r="R761" s="11"/>
      <c r="S761" s="11"/>
      <c r="T761" s="11"/>
      <c r="U761" s="15"/>
      <c r="V761" s="11"/>
      <c r="W761" s="11"/>
      <c r="X761" s="11"/>
      <c r="Y761" s="11"/>
      <c r="Z761" s="11"/>
    </row>
    <row r="762">
      <c r="A762" s="18"/>
      <c r="B762" s="11"/>
      <c r="C762" s="11"/>
      <c r="D762" s="11"/>
      <c r="E762" s="11"/>
      <c r="F762" s="11"/>
      <c r="G762" s="11"/>
      <c r="H762" s="11"/>
      <c r="I762" s="11"/>
      <c r="J762" s="11"/>
      <c r="K762" s="11"/>
      <c r="L762" s="15"/>
      <c r="M762" s="15"/>
      <c r="N762" s="15"/>
      <c r="O762" s="15"/>
      <c r="P762" s="15"/>
      <c r="Q762" s="11"/>
      <c r="R762" s="11"/>
      <c r="S762" s="11"/>
      <c r="T762" s="11"/>
      <c r="U762" s="15"/>
      <c r="V762" s="11"/>
      <c r="W762" s="11"/>
      <c r="X762" s="11"/>
      <c r="Y762" s="11"/>
      <c r="Z762" s="11"/>
    </row>
    <row r="763">
      <c r="A763" s="18"/>
      <c r="B763" s="11"/>
      <c r="C763" s="11"/>
      <c r="D763" s="11"/>
      <c r="E763" s="11"/>
      <c r="F763" s="11"/>
      <c r="G763" s="11"/>
      <c r="H763" s="11"/>
      <c r="I763" s="11"/>
      <c r="J763" s="11"/>
      <c r="K763" s="11"/>
      <c r="L763" s="15"/>
      <c r="M763" s="15"/>
      <c r="N763" s="15"/>
      <c r="O763" s="15"/>
      <c r="P763" s="15"/>
      <c r="Q763" s="11"/>
      <c r="R763" s="11"/>
      <c r="S763" s="11"/>
      <c r="T763" s="11"/>
      <c r="U763" s="15"/>
      <c r="V763" s="11"/>
      <c r="W763" s="11"/>
      <c r="X763" s="11"/>
      <c r="Y763" s="11"/>
      <c r="Z763" s="11"/>
    </row>
    <row r="764">
      <c r="A764" s="18"/>
      <c r="B764" s="11"/>
      <c r="C764" s="11"/>
      <c r="D764" s="11"/>
      <c r="E764" s="11"/>
      <c r="F764" s="11"/>
      <c r="G764" s="11"/>
      <c r="H764" s="11"/>
      <c r="I764" s="11"/>
      <c r="J764" s="11"/>
      <c r="K764" s="11"/>
      <c r="L764" s="15"/>
      <c r="M764" s="15"/>
      <c r="N764" s="15"/>
      <c r="O764" s="15"/>
      <c r="P764" s="15"/>
      <c r="Q764" s="11"/>
      <c r="R764" s="11"/>
      <c r="S764" s="11"/>
      <c r="T764" s="11"/>
      <c r="U764" s="15"/>
      <c r="V764" s="11"/>
      <c r="W764" s="11"/>
      <c r="X764" s="11"/>
      <c r="Y764" s="11"/>
      <c r="Z764" s="11"/>
    </row>
    <row r="765">
      <c r="A765" s="18"/>
      <c r="B765" s="11"/>
      <c r="C765" s="11"/>
      <c r="D765" s="11"/>
      <c r="E765" s="11"/>
      <c r="F765" s="11"/>
      <c r="G765" s="11"/>
      <c r="H765" s="11"/>
      <c r="I765" s="11"/>
      <c r="J765" s="11"/>
      <c r="K765" s="11"/>
      <c r="L765" s="15"/>
      <c r="M765" s="15"/>
      <c r="N765" s="15"/>
      <c r="O765" s="15"/>
      <c r="P765" s="15"/>
      <c r="Q765" s="11"/>
      <c r="R765" s="11"/>
      <c r="S765" s="11"/>
      <c r="T765" s="11"/>
      <c r="U765" s="15"/>
      <c r="V765" s="11"/>
      <c r="W765" s="11"/>
      <c r="X765" s="11"/>
      <c r="Y765" s="11"/>
      <c r="Z765" s="11"/>
    </row>
    <row r="766">
      <c r="A766" s="18"/>
      <c r="B766" s="11"/>
      <c r="C766" s="11"/>
      <c r="D766" s="11"/>
      <c r="E766" s="11"/>
      <c r="F766" s="11"/>
      <c r="G766" s="11"/>
      <c r="H766" s="11"/>
      <c r="I766" s="11"/>
      <c r="J766" s="11"/>
      <c r="K766" s="11"/>
      <c r="L766" s="15"/>
      <c r="M766" s="15"/>
      <c r="N766" s="15"/>
      <c r="O766" s="15"/>
      <c r="P766" s="15"/>
      <c r="Q766" s="11"/>
      <c r="R766" s="11"/>
      <c r="S766" s="11"/>
      <c r="T766" s="11"/>
      <c r="U766" s="15"/>
      <c r="V766" s="11"/>
      <c r="W766" s="11"/>
      <c r="X766" s="11"/>
      <c r="Y766" s="11"/>
      <c r="Z766" s="11"/>
    </row>
    <row r="767">
      <c r="A767" s="18"/>
      <c r="B767" s="11"/>
      <c r="C767" s="11"/>
      <c r="D767" s="11"/>
      <c r="E767" s="11"/>
      <c r="F767" s="11"/>
      <c r="G767" s="11"/>
      <c r="H767" s="11"/>
      <c r="I767" s="11"/>
      <c r="J767" s="11"/>
      <c r="K767" s="11"/>
      <c r="L767" s="15"/>
      <c r="M767" s="15"/>
      <c r="N767" s="15"/>
      <c r="O767" s="15"/>
      <c r="P767" s="15"/>
      <c r="Q767" s="11"/>
      <c r="R767" s="11"/>
      <c r="S767" s="11"/>
      <c r="T767" s="11"/>
      <c r="U767" s="15"/>
      <c r="V767" s="11"/>
      <c r="W767" s="11"/>
      <c r="X767" s="11"/>
      <c r="Y767" s="11"/>
      <c r="Z767" s="11"/>
    </row>
    <row r="768">
      <c r="A768" s="18"/>
      <c r="B768" s="11"/>
      <c r="C768" s="11"/>
      <c r="D768" s="11"/>
      <c r="E768" s="11"/>
      <c r="F768" s="11"/>
      <c r="G768" s="11"/>
      <c r="H768" s="11"/>
      <c r="I768" s="11"/>
      <c r="J768" s="11"/>
      <c r="K768" s="11"/>
      <c r="L768" s="15"/>
      <c r="M768" s="15"/>
      <c r="N768" s="15"/>
      <c r="O768" s="15"/>
      <c r="P768" s="15"/>
      <c r="Q768" s="11"/>
      <c r="R768" s="11"/>
      <c r="S768" s="11"/>
      <c r="T768" s="11"/>
      <c r="U768" s="15"/>
      <c r="V768" s="11"/>
      <c r="W768" s="11"/>
      <c r="X768" s="11"/>
      <c r="Y768" s="11"/>
      <c r="Z768" s="11"/>
    </row>
    <row r="769">
      <c r="A769" s="18"/>
      <c r="B769" s="11"/>
      <c r="C769" s="11"/>
      <c r="D769" s="11"/>
      <c r="E769" s="11"/>
      <c r="F769" s="11"/>
      <c r="G769" s="11"/>
      <c r="H769" s="11"/>
      <c r="I769" s="11"/>
      <c r="J769" s="11"/>
      <c r="K769" s="11"/>
      <c r="L769" s="15"/>
      <c r="M769" s="15"/>
      <c r="N769" s="15"/>
      <c r="O769" s="15"/>
      <c r="P769" s="15"/>
      <c r="Q769" s="11"/>
      <c r="R769" s="11"/>
      <c r="S769" s="11"/>
      <c r="T769" s="11"/>
      <c r="U769" s="15"/>
      <c r="V769" s="11"/>
      <c r="W769" s="11"/>
      <c r="X769" s="11"/>
      <c r="Y769" s="11"/>
      <c r="Z769" s="11"/>
    </row>
    <row r="770">
      <c r="A770" s="18"/>
      <c r="B770" s="11"/>
      <c r="C770" s="11"/>
      <c r="D770" s="11"/>
      <c r="E770" s="11"/>
      <c r="F770" s="11"/>
      <c r="G770" s="11"/>
      <c r="H770" s="11"/>
      <c r="I770" s="11"/>
      <c r="J770" s="11"/>
      <c r="K770" s="11"/>
      <c r="L770" s="15"/>
      <c r="M770" s="15"/>
      <c r="N770" s="15"/>
      <c r="O770" s="15"/>
      <c r="P770" s="15"/>
      <c r="Q770" s="11"/>
      <c r="R770" s="11"/>
      <c r="S770" s="11"/>
      <c r="T770" s="11"/>
      <c r="U770" s="15"/>
      <c r="V770" s="11"/>
      <c r="W770" s="11"/>
      <c r="X770" s="11"/>
      <c r="Y770" s="11"/>
      <c r="Z770" s="11"/>
    </row>
    <row r="771">
      <c r="A771" s="18"/>
      <c r="B771" s="11"/>
      <c r="C771" s="11"/>
      <c r="D771" s="11"/>
      <c r="E771" s="11"/>
      <c r="F771" s="11"/>
      <c r="G771" s="11"/>
      <c r="H771" s="11"/>
      <c r="I771" s="11"/>
      <c r="J771" s="11"/>
      <c r="K771" s="11"/>
      <c r="L771" s="15"/>
      <c r="M771" s="15"/>
      <c r="N771" s="15"/>
      <c r="O771" s="15"/>
      <c r="P771" s="15"/>
      <c r="Q771" s="11"/>
      <c r="R771" s="11"/>
      <c r="S771" s="11"/>
      <c r="T771" s="11"/>
      <c r="U771" s="15"/>
      <c r="V771" s="11"/>
      <c r="W771" s="11"/>
      <c r="X771" s="11"/>
      <c r="Y771" s="11"/>
      <c r="Z771" s="11"/>
    </row>
    <row r="772">
      <c r="A772" s="18"/>
      <c r="B772" s="11"/>
      <c r="C772" s="11"/>
      <c r="D772" s="11"/>
      <c r="E772" s="11"/>
      <c r="F772" s="11"/>
      <c r="G772" s="11"/>
      <c r="H772" s="11"/>
      <c r="I772" s="11"/>
      <c r="J772" s="11"/>
      <c r="K772" s="11"/>
      <c r="L772" s="15"/>
      <c r="M772" s="15"/>
      <c r="N772" s="15"/>
      <c r="O772" s="15"/>
      <c r="P772" s="15"/>
      <c r="Q772" s="11"/>
      <c r="R772" s="11"/>
      <c r="S772" s="11"/>
      <c r="T772" s="11"/>
      <c r="U772" s="15"/>
      <c r="V772" s="11"/>
      <c r="W772" s="11"/>
      <c r="X772" s="11"/>
      <c r="Y772" s="11"/>
      <c r="Z772" s="11"/>
    </row>
    <row r="773">
      <c r="A773" s="18"/>
      <c r="B773" s="11"/>
      <c r="C773" s="11"/>
      <c r="D773" s="11"/>
      <c r="E773" s="11"/>
      <c r="F773" s="11"/>
      <c r="G773" s="11"/>
      <c r="H773" s="11"/>
      <c r="I773" s="11"/>
      <c r="J773" s="11"/>
      <c r="K773" s="11"/>
      <c r="L773" s="15"/>
      <c r="M773" s="15"/>
      <c r="N773" s="15"/>
      <c r="O773" s="15"/>
      <c r="P773" s="15"/>
      <c r="Q773" s="11"/>
      <c r="R773" s="11"/>
      <c r="S773" s="11"/>
      <c r="T773" s="11"/>
      <c r="U773" s="15"/>
      <c r="V773" s="11"/>
      <c r="W773" s="11"/>
      <c r="X773" s="11"/>
      <c r="Y773" s="11"/>
      <c r="Z773" s="11"/>
    </row>
    <row r="774">
      <c r="A774" s="18"/>
      <c r="B774" s="11"/>
      <c r="C774" s="11"/>
      <c r="D774" s="11"/>
      <c r="E774" s="11"/>
      <c r="F774" s="11"/>
      <c r="G774" s="11"/>
      <c r="H774" s="11"/>
      <c r="I774" s="11"/>
      <c r="J774" s="11"/>
      <c r="K774" s="11"/>
      <c r="L774" s="15"/>
      <c r="M774" s="15"/>
      <c r="N774" s="15"/>
      <c r="O774" s="15"/>
      <c r="P774" s="15"/>
      <c r="Q774" s="11"/>
      <c r="R774" s="11"/>
      <c r="S774" s="11"/>
      <c r="T774" s="11"/>
      <c r="U774" s="15"/>
      <c r="V774" s="11"/>
      <c r="W774" s="11"/>
      <c r="X774" s="11"/>
      <c r="Y774" s="11"/>
      <c r="Z774" s="11"/>
    </row>
    <row r="775">
      <c r="A775" s="18"/>
      <c r="B775" s="11"/>
      <c r="C775" s="11"/>
      <c r="D775" s="11"/>
      <c r="E775" s="11"/>
      <c r="F775" s="11"/>
      <c r="G775" s="11"/>
      <c r="H775" s="11"/>
      <c r="I775" s="11"/>
      <c r="J775" s="11"/>
      <c r="K775" s="11"/>
      <c r="L775" s="15"/>
      <c r="M775" s="15"/>
      <c r="N775" s="15"/>
      <c r="O775" s="15"/>
      <c r="P775" s="15"/>
      <c r="Q775" s="11"/>
      <c r="R775" s="11"/>
      <c r="S775" s="11"/>
      <c r="T775" s="11"/>
      <c r="U775" s="15"/>
      <c r="V775" s="11"/>
      <c r="W775" s="11"/>
      <c r="X775" s="11"/>
      <c r="Y775" s="11"/>
      <c r="Z775" s="11"/>
    </row>
    <row r="776">
      <c r="A776" s="18"/>
      <c r="B776" s="11"/>
      <c r="C776" s="11"/>
      <c r="D776" s="11"/>
      <c r="E776" s="11"/>
      <c r="F776" s="11"/>
      <c r="G776" s="11"/>
      <c r="H776" s="11"/>
      <c r="I776" s="11"/>
      <c r="J776" s="11"/>
      <c r="K776" s="11"/>
      <c r="L776" s="15"/>
      <c r="M776" s="15"/>
      <c r="N776" s="15"/>
      <c r="O776" s="15"/>
      <c r="P776" s="15"/>
      <c r="Q776" s="11"/>
      <c r="R776" s="11"/>
      <c r="S776" s="11"/>
      <c r="T776" s="11"/>
      <c r="U776" s="15"/>
      <c r="V776" s="11"/>
      <c r="W776" s="11"/>
      <c r="X776" s="11"/>
      <c r="Y776" s="11"/>
      <c r="Z776" s="11"/>
    </row>
    <row r="777">
      <c r="A777" s="18"/>
      <c r="B777" s="11"/>
      <c r="C777" s="11"/>
      <c r="D777" s="11"/>
      <c r="E777" s="11"/>
      <c r="F777" s="11"/>
      <c r="G777" s="11"/>
      <c r="H777" s="11"/>
      <c r="I777" s="11"/>
      <c r="J777" s="11"/>
      <c r="K777" s="11"/>
      <c r="L777" s="15"/>
      <c r="M777" s="15"/>
      <c r="N777" s="15"/>
      <c r="O777" s="15"/>
      <c r="P777" s="15"/>
      <c r="Q777" s="11"/>
      <c r="R777" s="11"/>
      <c r="S777" s="11"/>
      <c r="T777" s="11"/>
      <c r="U777" s="15"/>
      <c r="V777" s="11"/>
      <c r="W777" s="11"/>
      <c r="X777" s="11"/>
      <c r="Y777" s="11"/>
      <c r="Z777" s="11"/>
    </row>
    <row r="778">
      <c r="A778" s="18"/>
      <c r="B778" s="11"/>
      <c r="C778" s="11"/>
      <c r="D778" s="11"/>
      <c r="E778" s="11"/>
      <c r="F778" s="11"/>
      <c r="G778" s="11"/>
      <c r="H778" s="11"/>
      <c r="I778" s="11"/>
      <c r="J778" s="11"/>
      <c r="K778" s="11"/>
      <c r="L778" s="15"/>
      <c r="M778" s="15"/>
      <c r="N778" s="15"/>
      <c r="O778" s="15"/>
      <c r="P778" s="15"/>
      <c r="Q778" s="11"/>
      <c r="R778" s="11"/>
      <c r="S778" s="11"/>
      <c r="T778" s="11"/>
      <c r="U778" s="15"/>
      <c r="V778" s="11"/>
      <c r="W778" s="11"/>
      <c r="X778" s="11"/>
      <c r="Y778" s="11"/>
      <c r="Z778" s="11"/>
    </row>
    <row r="779">
      <c r="A779" s="18"/>
      <c r="B779" s="11"/>
      <c r="C779" s="11"/>
      <c r="D779" s="11"/>
      <c r="E779" s="11"/>
      <c r="F779" s="11"/>
      <c r="G779" s="11"/>
      <c r="H779" s="11"/>
      <c r="I779" s="11"/>
      <c r="J779" s="11"/>
      <c r="K779" s="11"/>
      <c r="L779" s="15"/>
      <c r="M779" s="15"/>
      <c r="N779" s="15"/>
      <c r="O779" s="15"/>
      <c r="P779" s="15"/>
      <c r="Q779" s="11"/>
      <c r="R779" s="11"/>
      <c r="S779" s="11"/>
      <c r="T779" s="11"/>
      <c r="U779" s="15"/>
      <c r="V779" s="11"/>
      <c r="W779" s="11"/>
      <c r="X779" s="11"/>
      <c r="Y779" s="11"/>
      <c r="Z779" s="11"/>
    </row>
    <row r="780">
      <c r="A780" s="18"/>
      <c r="B780" s="11"/>
      <c r="C780" s="11"/>
      <c r="D780" s="11"/>
      <c r="E780" s="11"/>
      <c r="F780" s="11"/>
      <c r="G780" s="11"/>
      <c r="H780" s="11"/>
      <c r="I780" s="11"/>
      <c r="J780" s="11"/>
      <c r="K780" s="11"/>
      <c r="L780" s="15"/>
      <c r="M780" s="15"/>
      <c r="N780" s="15"/>
      <c r="O780" s="15"/>
      <c r="P780" s="15"/>
      <c r="Q780" s="11"/>
      <c r="R780" s="11"/>
      <c r="S780" s="11"/>
      <c r="T780" s="11"/>
      <c r="U780" s="15"/>
      <c r="V780" s="11"/>
      <c r="W780" s="11"/>
      <c r="X780" s="11"/>
      <c r="Y780" s="11"/>
      <c r="Z780" s="11"/>
    </row>
    <row r="781">
      <c r="A781" s="18"/>
      <c r="B781" s="11"/>
      <c r="C781" s="11"/>
      <c r="D781" s="11"/>
      <c r="E781" s="11"/>
      <c r="F781" s="11"/>
      <c r="G781" s="11"/>
      <c r="H781" s="11"/>
      <c r="I781" s="11"/>
      <c r="J781" s="11"/>
      <c r="K781" s="11"/>
      <c r="L781" s="15"/>
      <c r="M781" s="15"/>
      <c r="N781" s="15"/>
      <c r="O781" s="15"/>
      <c r="P781" s="15"/>
      <c r="Q781" s="11"/>
      <c r="R781" s="11"/>
      <c r="S781" s="11"/>
      <c r="T781" s="11"/>
      <c r="U781" s="15"/>
      <c r="V781" s="11"/>
      <c r="W781" s="11"/>
      <c r="X781" s="11"/>
      <c r="Y781" s="11"/>
      <c r="Z781" s="11"/>
    </row>
    <row r="782">
      <c r="A782" s="18"/>
      <c r="B782" s="11"/>
      <c r="C782" s="11"/>
      <c r="D782" s="11"/>
      <c r="E782" s="11"/>
      <c r="F782" s="11"/>
      <c r="G782" s="11"/>
      <c r="H782" s="11"/>
      <c r="I782" s="11"/>
      <c r="J782" s="11"/>
      <c r="K782" s="11"/>
      <c r="L782" s="15"/>
      <c r="M782" s="15"/>
      <c r="N782" s="15"/>
      <c r="O782" s="15"/>
      <c r="P782" s="15"/>
      <c r="Q782" s="11"/>
      <c r="R782" s="11"/>
      <c r="S782" s="11"/>
      <c r="T782" s="11"/>
      <c r="U782" s="15"/>
      <c r="V782" s="11"/>
      <c r="W782" s="11"/>
      <c r="X782" s="11"/>
      <c r="Y782" s="11"/>
      <c r="Z782" s="11"/>
    </row>
    <row r="783">
      <c r="A783" s="18"/>
      <c r="B783" s="11"/>
      <c r="C783" s="11"/>
      <c r="D783" s="11"/>
      <c r="E783" s="11"/>
      <c r="F783" s="11"/>
      <c r="G783" s="11"/>
      <c r="H783" s="11"/>
      <c r="I783" s="11"/>
      <c r="J783" s="11"/>
      <c r="K783" s="11"/>
      <c r="L783" s="15"/>
      <c r="M783" s="15"/>
      <c r="N783" s="15"/>
      <c r="O783" s="15"/>
      <c r="P783" s="15"/>
      <c r="Q783" s="11"/>
      <c r="R783" s="11"/>
      <c r="S783" s="11"/>
      <c r="T783" s="11"/>
      <c r="U783" s="15"/>
      <c r="V783" s="11"/>
      <c r="W783" s="11"/>
      <c r="X783" s="11"/>
      <c r="Y783" s="11"/>
      <c r="Z783" s="11"/>
    </row>
    <row r="784">
      <c r="A784" s="18"/>
      <c r="B784" s="11"/>
      <c r="C784" s="11"/>
      <c r="D784" s="11"/>
      <c r="E784" s="11"/>
      <c r="F784" s="11"/>
      <c r="G784" s="11"/>
      <c r="H784" s="11"/>
      <c r="I784" s="11"/>
      <c r="J784" s="11"/>
      <c r="K784" s="11"/>
      <c r="L784" s="15"/>
      <c r="M784" s="15"/>
      <c r="N784" s="15"/>
      <c r="O784" s="15"/>
      <c r="P784" s="15"/>
      <c r="Q784" s="11"/>
      <c r="R784" s="11"/>
      <c r="S784" s="11"/>
      <c r="T784" s="11"/>
      <c r="U784" s="15"/>
      <c r="V784" s="11"/>
      <c r="W784" s="11"/>
      <c r="X784" s="11"/>
      <c r="Y784" s="11"/>
      <c r="Z784" s="11"/>
    </row>
    <row r="785">
      <c r="A785" s="18"/>
      <c r="B785" s="11"/>
      <c r="C785" s="11"/>
      <c r="D785" s="11"/>
      <c r="E785" s="11"/>
      <c r="F785" s="11"/>
      <c r="G785" s="11"/>
      <c r="H785" s="11"/>
      <c r="I785" s="11"/>
      <c r="J785" s="11"/>
      <c r="K785" s="11"/>
      <c r="L785" s="15"/>
      <c r="M785" s="15"/>
      <c r="N785" s="15"/>
      <c r="O785" s="15"/>
      <c r="P785" s="15"/>
      <c r="Q785" s="11"/>
      <c r="R785" s="11"/>
      <c r="S785" s="11"/>
      <c r="T785" s="11"/>
      <c r="U785" s="15"/>
      <c r="V785" s="11"/>
      <c r="W785" s="11"/>
      <c r="X785" s="11"/>
      <c r="Y785" s="11"/>
      <c r="Z785" s="11"/>
    </row>
    <row r="786">
      <c r="A786" s="18"/>
      <c r="B786" s="11"/>
      <c r="C786" s="11"/>
      <c r="D786" s="11"/>
      <c r="E786" s="11"/>
      <c r="F786" s="11"/>
      <c r="G786" s="11"/>
      <c r="H786" s="11"/>
      <c r="I786" s="11"/>
      <c r="J786" s="11"/>
      <c r="K786" s="11"/>
      <c r="L786" s="15"/>
      <c r="M786" s="15"/>
      <c r="N786" s="15"/>
      <c r="O786" s="15"/>
      <c r="P786" s="15"/>
      <c r="Q786" s="11"/>
      <c r="R786" s="11"/>
      <c r="S786" s="11"/>
      <c r="T786" s="11"/>
      <c r="U786" s="15"/>
      <c r="V786" s="11"/>
      <c r="W786" s="11"/>
      <c r="X786" s="11"/>
      <c r="Y786" s="11"/>
      <c r="Z786" s="11"/>
    </row>
    <row r="787">
      <c r="A787" s="18"/>
      <c r="B787" s="11"/>
      <c r="C787" s="11"/>
      <c r="D787" s="11"/>
      <c r="E787" s="11"/>
      <c r="F787" s="11"/>
      <c r="G787" s="11"/>
      <c r="H787" s="11"/>
      <c r="I787" s="11"/>
      <c r="J787" s="11"/>
      <c r="K787" s="11"/>
      <c r="L787" s="15"/>
      <c r="M787" s="15"/>
      <c r="N787" s="15"/>
      <c r="O787" s="15"/>
      <c r="P787" s="15"/>
      <c r="Q787" s="11"/>
      <c r="R787" s="11"/>
      <c r="S787" s="11"/>
      <c r="T787" s="11"/>
      <c r="U787" s="15"/>
      <c r="V787" s="11"/>
      <c r="W787" s="11"/>
      <c r="X787" s="11"/>
      <c r="Y787" s="11"/>
      <c r="Z787" s="11"/>
    </row>
    <row r="788">
      <c r="A788" s="18"/>
      <c r="B788" s="11"/>
      <c r="C788" s="11"/>
      <c r="D788" s="11"/>
      <c r="E788" s="11"/>
      <c r="F788" s="11"/>
      <c r="G788" s="11"/>
      <c r="H788" s="11"/>
      <c r="I788" s="11"/>
      <c r="J788" s="11"/>
      <c r="K788" s="11"/>
      <c r="L788" s="15"/>
      <c r="M788" s="15"/>
      <c r="N788" s="15"/>
      <c r="O788" s="15"/>
      <c r="P788" s="15"/>
      <c r="Q788" s="11"/>
      <c r="R788" s="11"/>
      <c r="S788" s="11"/>
      <c r="T788" s="11"/>
      <c r="U788" s="15"/>
      <c r="V788" s="11"/>
      <c r="W788" s="11"/>
      <c r="X788" s="11"/>
      <c r="Y788" s="11"/>
      <c r="Z788" s="11"/>
    </row>
    <row r="789">
      <c r="A789" s="18"/>
      <c r="B789" s="11"/>
      <c r="C789" s="11"/>
      <c r="D789" s="11"/>
      <c r="E789" s="11"/>
      <c r="F789" s="11"/>
      <c r="G789" s="11"/>
      <c r="H789" s="11"/>
      <c r="I789" s="11"/>
      <c r="J789" s="11"/>
      <c r="K789" s="11"/>
      <c r="L789" s="15"/>
      <c r="M789" s="15"/>
      <c r="N789" s="15"/>
      <c r="O789" s="15"/>
      <c r="P789" s="15"/>
      <c r="Q789" s="11"/>
      <c r="R789" s="11"/>
      <c r="S789" s="11"/>
      <c r="T789" s="11"/>
      <c r="U789" s="15"/>
      <c r="V789" s="11"/>
      <c r="W789" s="11"/>
      <c r="X789" s="11"/>
      <c r="Y789" s="11"/>
      <c r="Z789" s="11"/>
    </row>
    <row r="790">
      <c r="A790" s="18"/>
      <c r="B790" s="11"/>
      <c r="C790" s="11"/>
      <c r="D790" s="11"/>
      <c r="E790" s="11"/>
      <c r="F790" s="11"/>
      <c r="G790" s="11"/>
      <c r="H790" s="11"/>
      <c r="I790" s="11"/>
      <c r="J790" s="11"/>
      <c r="K790" s="11"/>
      <c r="L790" s="15"/>
      <c r="M790" s="15"/>
      <c r="N790" s="15"/>
      <c r="O790" s="15"/>
      <c r="P790" s="15"/>
      <c r="Q790" s="11"/>
      <c r="R790" s="11"/>
      <c r="S790" s="11"/>
      <c r="T790" s="11"/>
      <c r="U790" s="15"/>
      <c r="V790" s="11"/>
      <c r="W790" s="11"/>
      <c r="X790" s="11"/>
      <c r="Y790" s="11"/>
      <c r="Z790" s="11"/>
    </row>
    <row r="791">
      <c r="A791" s="18"/>
      <c r="B791" s="11"/>
      <c r="C791" s="11"/>
      <c r="D791" s="11"/>
      <c r="E791" s="11"/>
      <c r="F791" s="11"/>
      <c r="G791" s="11"/>
      <c r="H791" s="11"/>
      <c r="I791" s="11"/>
      <c r="J791" s="11"/>
      <c r="K791" s="11"/>
      <c r="L791" s="15"/>
      <c r="M791" s="15"/>
      <c r="N791" s="15"/>
      <c r="O791" s="15"/>
      <c r="P791" s="15"/>
      <c r="Q791" s="11"/>
      <c r="R791" s="11"/>
      <c r="S791" s="11"/>
      <c r="T791" s="11"/>
      <c r="U791" s="15"/>
      <c r="V791" s="11"/>
      <c r="W791" s="11"/>
      <c r="X791" s="11"/>
      <c r="Y791" s="11"/>
      <c r="Z791" s="11"/>
    </row>
    <row r="792">
      <c r="A792" s="18"/>
      <c r="B792" s="11"/>
      <c r="C792" s="11"/>
      <c r="D792" s="11"/>
      <c r="E792" s="11"/>
      <c r="F792" s="11"/>
      <c r="G792" s="11"/>
      <c r="H792" s="11"/>
      <c r="I792" s="11"/>
      <c r="J792" s="11"/>
      <c r="K792" s="11"/>
      <c r="L792" s="15"/>
      <c r="M792" s="15"/>
      <c r="N792" s="15"/>
      <c r="O792" s="15"/>
      <c r="P792" s="15"/>
      <c r="Q792" s="11"/>
      <c r="R792" s="11"/>
      <c r="S792" s="11"/>
      <c r="T792" s="11"/>
      <c r="U792" s="15"/>
      <c r="V792" s="11"/>
      <c r="W792" s="11"/>
      <c r="X792" s="11"/>
      <c r="Y792" s="11"/>
      <c r="Z792" s="11"/>
    </row>
    <row r="793">
      <c r="A793" s="18"/>
      <c r="B793" s="11"/>
      <c r="C793" s="11"/>
      <c r="D793" s="11"/>
      <c r="E793" s="11"/>
      <c r="F793" s="11"/>
      <c r="G793" s="11"/>
      <c r="H793" s="11"/>
      <c r="I793" s="11"/>
      <c r="J793" s="11"/>
      <c r="K793" s="11"/>
      <c r="L793" s="15"/>
      <c r="M793" s="15"/>
      <c r="N793" s="15"/>
      <c r="O793" s="15"/>
      <c r="P793" s="15"/>
      <c r="Q793" s="11"/>
      <c r="R793" s="11"/>
      <c r="S793" s="11"/>
      <c r="T793" s="11"/>
      <c r="U793" s="15"/>
      <c r="V793" s="11"/>
      <c r="W793" s="11"/>
      <c r="X793" s="11"/>
      <c r="Y793" s="11"/>
      <c r="Z793" s="11"/>
    </row>
    <row r="794">
      <c r="A794" s="18"/>
      <c r="B794" s="11"/>
      <c r="C794" s="11"/>
      <c r="D794" s="11"/>
      <c r="E794" s="11"/>
      <c r="F794" s="11"/>
      <c r="G794" s="11"/>
      <c r="H794" s="11"/>
      <c r="I794" s="11"/>
      <c r="J794" s="11"/>
      <c r="K794" s="11"/>
      <c r="L794" s="15"/>
      <c r="M794" s="15"/>
      <c r="N794" s="15"/>
      <c r="O794" s="15"/>
      <c r="P794" s="15"/>
      <c r="Q794" s="11"/>
      <c r="R794" s="11"/>
      <c r="S794" s="11"/>
      <c r="T794" s="11"/>
      <c r="U794" s="15"/>
      <c r="V794" s="11"/>
      <c r="W794" s="11"/>
      <c r="X794" s="11"/>
      <c r="Y794" s="11"/>
      <c r="Z794" s="11"/>
    </row>
    <row r="795">
      <c r="A795" s="18"/>
      <c r="B795" s="11"/>
      <c r="C795" s="11"/>
      <c r="D795" s="11"/>
      <c r="E795" s="11"/>
      <c r="F795" s="11"/>
      <c r="G795" s="11"/>
      <c r="H795" s="11"/>
      <c r="I795" s="11"/>
      <c r="J795" s="11"/>
      <c r="K795" s="11"/>
      <c r="L795" s="15"/>
      <c r="M795" s="15"/>
      <c r="N795" s="15"/>
      <c r="O795" s="15"/>
      <c r="P795" s="15"/>
      <c r="Q795" s="11"/>
      <c r="R795" s="11"/>
      <c r="S795" s="11"/>
      <c r="T795" s="11"/>
      <c r="U795" s="15"/>
      <c r="V795" s="11"/>
      <c r="W795" s="11"/>
      <c r="X795" s="11"/>
      <c r="Y795" s="11"/>
      <c r="Z795" s="11"/>
    </row>
    <row r="796">
      <c r="A796" s="18"/>
      <c r="B796" s="11"/>
      <c r="C796" s="11"/>
      <c r="D796" s="11"/>
      <c r="E796" s="11"/>
      <c r="F796" s="11"/>
      <c r="G796" s="11"/>
      <c r="H796" s="11"/>
      <c r="I796" s="11"/>
      <c r="J796" s="11"/>
      <c r="K796" s="11"/>
      <c r="L796" s="15"/>
      <c r="M796" s="15"/>
      <c r="N796" s="15"/>
      <c r="O796" s="15"/>
      <c r="P796" s="15"/>
      <c r="Q796" s="11"/>
      <c r="R796" s="11"/>
      <c r="S796" s="11"/>
      <c r="T796" s="11"/>
      <c r="U796" s="15"/>
      <c r="V796" s="11"/>
      <c r="W796" s="11"/>
      <c r="X796" s="11"/>
      <c r="Y796" s="11"/>
      <c r="Z796" s="11"/>
    </row>
    <row r="797">
      <c r="A797" s="18"/>
      <c r="B797" s="11"/>
      <c r="C797" s="11"/>
      <c r="D797" s="11"/>
      <c r="E797" s="11"/>
      <c r="F797" s="11"/>
      <c r="G797" s="11"/>
      <c r="H797" s="11"/>
      <c r="I797" s="11"/>
      <c r="J797" s="11"/>
      <c r="K797" s="11"/>
      <c r="L797" s="15"/>
      <c r="M797" s="15"/>
      <c r="N797" s="15"/>
      <c r="O797" s="15"/>
      <c r="P797" s="15"/>
      <c r="Q797" s="11"/>
      <c r="R797" s="11"/>
      <c r="S797" s="11"/>
      <c r="T797" s="11"/>
      <c r="U797" s="15"/>
      <c r="V797" s="11"/>
      <c r="W797" s="11"/>
      <c r="X797" s="11"/>
      <c r="Y797" s="11"/>
      <c r="Z797" s="11"/>
    </row>
    <row r="798">
      <c r="A798" s="18"/>
      <c r="B798" s="11"/>
      <c r="C798" s="11"/>
      <c r="D798" s="11"/>
      <c r="E798" s="11"/>
      <c r="F798" s="11"/>
      <c r="G798" s="11"/>
      <c r="H798" s="11"/>
      <c r="I798" s="11"/>
      <c r="J798" s="11"/>
      <c r="K798" s="11"/>
      <c r="L798" s="15"/>
      <c r="M798" s="15"/>
      <c r="N798" s="15"/>
      <c r="O798" s="15"/>
      <c r="P798" s="15"/>
      <c r="Q798" s="11"/>
      <c r="R798" s="11"/>
      <c r="S798" s="11"/>
      <c r="T798" s="11"/>
      <c r="U798" s="15"/>
      <c r="V798" s="11"/>
      <c r="W798" s="11"/>
      <c r="X798" s="11"/>
      <c r="Y798" s="11"/>
      <c r="Z798" s="11"/>
    </row>
    <row r="799">
      <c r="A799" s="18"/>
      <c r="B799" s="11"/>
      <c r="C799" s="11"/>
      <c r="D799" s="11"/>
      <c r="E799" s="11"/>
      <c r="F799" s="11"/>
      <c r="G799" s="11"/>
      <c r="H799" s="11"/>
      <c r="I799" s="11"/>
      <c r="J799" s="11"/>
      <c r="K799" s="11"/>
      <c r="L799" s="15"/>
      <c r="M799" s="15"/>
      <c r="N799" s="15"/>
      <c r="O799" s="15"/>
      <c r="P799" s="15"/>
      <c r="Q799" s="11"/>
      <c r="R799" s="11"/>
      <c r="S799" s="11"/>
      <c r="T799" s="11"/>
      <c r="U799" s="15"/>
      <c r="V799" s="11"/>
      <c r="W799" s="11"/>
      <c r="X799" s="11"/>
      <c r="Y799" s="11"/>
      <c r="Z799" s="11"/>
    </row>
    <row r="800">
      <c r="A800" s="18"/>
      <c r="B800" s="11"/>
      <c r="C800" s="11"/>
      <c r="D800" s="11"/>
      <c r="E800" s="11"/>
      <c r="F800" s="11"/>
      <c r="G800" s="11"/>
      <c r="H800" s="11"/>
      <c r="I800" s="11"/>
      <c r="J800" s="11"/>
      <c r="K800" s="11"/>
      <c r="L800" s="15"/>
      <c r="M800" s="15"/>
      <c r="N800" s="15"/>
      <c r="O800" s="15"/>
      <c r="P800" s="15"/>
      <c r="Q800" s="11"/>
      <c r="R800" s="11"/>
      <c r="S800" s="11"/>
      <c r="T800" s="11"/>
      <c r="U800" s="15"/>
      <c r="V800" s="11"/>
      <c r="W800" s="11"/>
      <c r="X800" s="11"/>
      <c r="Y800" s="11"/>
      <c r="Z800" s="11"/>
    </row>
    <row r="801">
      <c r="A801" s="18"/>
      <c r="B801" s="11"/>
      <c r="C801" s="11"/>
      <c r="D801" s="11"/>
      <c r="E801" s="11"/>
      <c r="F801" s="11"/>
      <c r="G801" s="11"/>
      <c r="H801" s="11"/>
      <c r="I801" s="11"/>
      <c r="J801" s="11"/>
      <c r="K801" s="11"/>
      <c r="L801" s="15"/>
      <c r="M801" s="15"/>
      <c r="N801" s="15"/>
      <c r="O801" s="15"/>
      <c r="P801" s="15"/>
      <c r="Q801" s="11"/>
      <c r="R801" s="11"/>
      <c r="S801" s="11"/>
      <c r="T801" s="11"/>
      <c r="U801" s="15"/>
      <c r="V801" s="11"/>
      <c r="W801" s="11"/>
      <c r="X801" s="11"/>
      <c r="Y801" s="11"/>
      <c r="Z801" s="11"/>
    </row>
    <row r="802">
      <c r="A802" s="18"/>
      <c r="B802" s="11"/>
      <c r="C802" s="11"/>
      <c r="D802" s="11"/>
      <c r="E802" s="11"/>
      <c r="F802" s="11"/>
      <c r="G802" s="11"/>
      <c r="H802" s="11"/>
      <c r="I802" s="11"/>
      <c r="J802" s="11"/>
      <c r="K802" s="11"/>
      <c r="L802" s="15"/>
      <c r="M802" s="15"/>
      <c r="N802" s="15"/>
      <c r="O802" s="15"/>
      <c r="P802" s="15"/>
      <c r="Q802" s="11"/>
      <c r="R802" s="11"/>
      <c r="S802" s="11"/>
      <c r="T802" s="11"/>
      <c r="U802" s="15"/>
      <c r="V802" s="11"/>
      <c r="W802" s="11"/>
      <c r="X802" s="11"/>
      <c r="Y802" s="11"/>
      <c r="Z802" s="11"/>
    </row>
    <row r="803">
      <c r="A803" s="18"/>
      <c r="B803" s="11"/>
      <c r="C803" s="11"/>
      <c r="D803" s="11"/>
      <c r="E803" s="11"/>
      <c r="F803" s="11"/>
      <c r="G803" s="11"/>
      <c r="H803" s="11"/>
      <c r="I803" s="11"/>
      <c r="J803" s="11"/>
      <c r="K803" s="11"/>
      <c r="L803" s="15"/>
      <c r="M803" s="15"/>
      <c r="N803" s="15"/>
      <c r="O803" s="15"/>
      <c r="P803" s="15"/>
      <c r="Q803" s="11"/>
      <c r="R803" s="11"/>
      <c r="S803" s="11"/>
      <c r="T803" s="11"/>
      <c r="U803" s="15"/>
      <c r="V803" s="11"/>
      <c r="W803" s="11"/>
      <c r="X803" s="11"/>
      <c r="Y803" s="11"/>
      <c r="Z803" s="11"/>
    </row>
    <row r="804">
      <c r="A804" s="18"/>
      <c r="B804" s="11"/>
      <c r="C804" s="11"/>
      <c r="D804" s="11"/>
      <c r="E804" s="11"/>
      <c r="F804" s="11"/>
      <c r="G804" s="11"/>
      <c r="H804" s="11"/>
      <c r="I804" s="11"/>
      <c r="J804" s="11"/>
      <c r="K804" s="11"/>
      <c r="L804" s="15"/>
      <c r="M804" s="15"/>
      <c r="N804" s="15"/>
      <c r="O804" s="15"/>
      <c r="P804" s="15"/>
      <c r="Q804" s="11"/>
      <c r="R804" s="11"/>
      <c r="S804" s="11"/>
      <c r="T804" s="11"/>
      <c r="U804" s="15"/>
      <c r="V804" s="11"/>
      <c r="W804" s="11"/>
      <c r="X804" s="11"/>
      <c r="Y804" s="11"/>
      <c r="Z804" s="11"/>
    </row>
    <row r="805">
      <c r="A805" s="18"/>
      <c r="B805" s="11"/>
      <c r="C805" s="11"/>
      <c r="D805" s="11"/>
      <c r="E805" s="11"/>
      <c r="F805" s="11"/>
      <c r="G805" s="11"/>
      <c r="H805" s="11"/>
      <c r="I805" s="11"/>
      <c r="J805" s="11"/>
      <c r="K805" s="11"/>
      <c r="L805" s="15"/>
      <c r="M805" s="15"/>
      <c r="N805" s="15"/>
      <c r="O805" s="15"/>
      <c r="P805" s="15"/>
      <c r="Q805" s="11"/>
      <c r="R805" s="11"/>
      <c r="S805" s="11"/>
      <c r="T805" s="11"/>
      <c r="U805" s="15"/>
      <c r="V805" s="11"/>
      <c r="W805" s="11"/>
      <c r="X805" s="11"/>
      <c r="Y805" s="11"/>
      <c r="Z805" s="11"/>
    </row>
    <row r="806">
      <c r="A806" s="18"/>
      <c r="B806" s="11"/>
      <c r="C806" s="11"/>
      <c r="D806" s="11"/>
      <c r="E806" s="11"/>
      <c r="F806" s="11"/>
      <c r="G806" s="11"/>
      <c r="H806" s="11"/>
      <c r="I806" s="11"/>
      <c r="J806" s="11"/>
      <c r="K806" s="11"/>
      <c r="L806" s="15"/>
      <c r="M806" s="15"/>
      <c r="N806" s="15"/>
      <c r="O806" s="15"/>
      <c r="P806" s="15"/>
      <c r="Q806" s="11"/>
      <c r="R806" s="11"/>
      <c r="S806" s="11"/>
      <c r="T806" s="11"/>
      <c r="U806" s="15"/>
      <c r="V806" s="11"/>
      <c r="W806" s="11"/>
      <c r="X806" s="11"/>
      <c r="Y806" s="11"/>
      <c r="Z806" s="11"/>
    </row>
    <row r="807">
      <c r="A807" s="18"/>
      <c r="B807" s="11"/>
      <c r="C807" s="11"/>
      <c r="D807" s="11"/>
      <c r="E807" s="11"/>
      <c r="F807" s="11"/>
      <c r="G807" s="11"/>
      <c r="H807" s="11"/>
      <c r="I807" s="11"/>
      <c r="J807" s="11"/>
      <c r="K807" s="11"/>
      <c r="L807" s="15"/>
      <c r="M807" s="15"/>
      <c r="N807" s="15"/>
      <c r="O807" s="15"/>
      <c r="P807" s="15"/>
      <c r="Q807" s="11"/>
      <c r="R807" s="11"/>
      <c r="S807" s="11"/>
      <c r="T807" s="11"/>
      <c r="U807" s="15"/>
      <c r="V807" s="11"/>
      <c r="W807" s="11"/>
      <c r="X807" s="11"/>
      <c r="Y807" s="11"/>
      <c r="Z807" s="11"/>
    </row>
    <row r="808">
      <c r="A808" s="18"/>
      <c r="B808" s="11"/>
      <c r="C808" s="11"/>
      <c r="D808" s="11"/>
      <c r="E808" s="11"/>
      <c r="F808" s="11"/>
      <c r="G808" s="11"/>
      <c r="H808" s="11"/>
      <c r="I808" s="11"/>
      <c r="J808" s="11"/>
      <c r="K808" s="11"/>
      <c r="L808" s="15"/>
      <c r="M808" s="15"/>
      <c r="N808" s="15"/>
      <c r="O808" s="15"/>
      <c r="P808" s="15"/>
      <c r="Q808" s="11"/>
      <c r="R808" s="11"/>
      <c r="S808" s="11"/>
      <c r="T808" s="11"/>
      <c r="U808" s="15"/>
      <c r="V808" s="11"/>
      <c r="W808" s="11"/>
      <c r="X808" s="11"/>
      <c r="Y808" s="11"/>
      <c r="Z808" s="11"/>
    </row>
    <row r="809">
      <c r="A809" s="18"/>
      <c r="B809" s="11"/>
      <c r="C809" s="11"/>
      <c r="D809" s="11"/>
      <c r="E809" s="11"/>
      <c r="F809" s="11"/>
      <c r="G809" s="11"/>
      <c r="H809" s="11"/>
      <c r="I809" s="11"/>
      <c r="J809" s="11"/>
      <c r="K809" s="11"/>
      <c r="L809" s="15"/>
      <c r="M809" s="15"/>
      <c r="N809" s="15"/>
      <c r="O809" s="15"/>
      <c r="P809" s="15"/>
      <c r="Q809" s="11"/>
      <c r="R809" s="11"/>
      <c r="S809" s="11"/>
      <c r="T809" s="11"/>
      <c r="U809" s="15"/>
      <c r="V809" s="11"/>
      <c r="W809" s="11"/>
      <c r="X809" s="11"/>
      <c r="Y809" s="11"/>
      <c r="Z809" s="11"/>
    </row>
    <row r="810">
      <c r="A810" s="18"/>
      <c r="B810" s="11"/>
      <c r="C810" s="11"/>
      <c r="D810" s="11"/>
      <c r="E810" s="11"/>
      <c r="F810" s="11"/>
      <c r="G810" s="11"/>
      <c r="H810" s="11"/>
      <c r="I810" s="11"/>
      <c r="J810" s="11"/>
      <c r="K810" s="11"/>
      <c r="L810" s="15"/>
      <c r="M810" s="15"/>
      <c r="N810" s="15"/>
      <c r="O810" s="15"/>
      <c r="P810" s="15"/>
      <c r="Q810" s="11"/>
      <c r="R810" s="11"/>
      <c r="S810" s="11"/>
      <c r="T810" s="11"/>
      <c r="U810" s="15"/>
      <c r="V810" s="11"/>
      <c r="W810" s="11"/>
      <c r="X810" s="11"/>
      <c r="Y810" s="11"/>
      <c r="Z810" s="11"/>
    </row>
    <row r="811">
      <c r="A811" s="18"/>
      <c r="B811" s="11"/>
      <c r="C811" s="11"/>
      <c r="D811" s="11"/>
      <c r="E811" s="11"/>
      <c r="F811" s="11"/>
      <c r="G811" s="11"/>
      <c r="H811" s="11"/>
      <c r="I811" s="11"/>
      <c r="J811" s="11"/>
      <c r="K811" s="11"/>
      <c r="L811" s="15"/>
      <c r="M811" s="15"/>
      <c r="N811" s="15"/>
      <c r="O811" s="15"/>
      <c r="P811" s="15"/>
      <c r="Q811" s="11"/>
      <c r="R811" s="11"/>
      <c r="S811" s="11"/>
      <c r="T811" s="11"/>
      <c r="U811" s="15"/>
      <c r="V811" s="11"/>
      <c r="W811" s="11"/>
      <c r="X811" s="11"/>
      <c r="Y811" s="11"/>
      <c r="Z811" s="11"/>
    </row>
    <row r="812">
      <c r="A812" s="18"/>
      <c r="B812" s="11"/>
      <c r="C812" s="11"/>
      <c r="D812" s="11"/>
      <c r="E812" s="11"/>
      <c r="F812" s="11"/>
      <c r="G812" s="11"/>
      <c r="H812" s="11"/>
      <c r="I812" s="11"/>
      <c r="J812" s="11"/>
      <c r="K812" s="11"/>
      <c r="L812" s="15"/>
      <c r="M812" s="15"/>
      <c r="N812" s="15"/>
      <c r="O812" s="15"/>
      <c r="P812" s="15"/>
      <c r="Q812" s="11"/>
      <c r="R812" s="11"/>
      <c r="S812" s="11"/>
      <c r="T812" s="11"/>
      <c r="U812" s="15"/>
      <c r="V812" s="11"/>
      <c r="W812" s="11"/>
      <c r="X812" s="11"/>
      <c r="Y812" s="11"/>
      <c r="Z812" s="11"/>
    </row>
    <row r="813">
      <c r="A813" s="18"/>
      <c r="B813" s="11"/>
      <c r="C813" s="11"/>
      <c r="D813" s="11"/>
      <c r="E813" s="11"/>
      <c r="F813" s="11"/>
      <c r="G813" s="11"/>
      <c r="H813" s="11"/>
      <c r="I813" s="11"/>
      <c r="J813" s="11"/>
      <c r="K813" s="11"/>
      <c r="L813" s="15"/>
      <c r="M813" s="15"/>
      <c r="N813" s="15"/>
      <c r="O813" s="15"/>
      <c r="P813" s="15"/>
      <c r="Q813" s="11"/>
      <c r="R813" s="11"/>
      <c r="S813" s="11"/>
      <c r="T813" s="11"/>
      <c r="U813" s="15"/>
      <c r="V813" s="11"/>
      <c r="W813" s="11"/>
      <c r="X813" s="11"/>
      <c r="Y813" s="11"/>
      <c r="Z813" s="11"/>
    </row>
    <row r="814">
      <c r="A814" s="18"/>
      <c r="B814" s="11"/>
      <c r="C814" s="11"/>
      <c r="D814" s="11"/>
      <c r="E814" s="11"/>
      <c r="F814" s="11"/>
      <c r="G814" s="11"/>
      <c r="H814" s="11"/>
      <c r="I814" s="11"/>
      <c r="J814" s="11"/>
      <c r="K814" s="11"/>
      <c r="L814" s="15"/>
      <c r="M814" s="15"/>
      <c r="N814" s="15"/>
      <c r="O814" s="15"/>
      <c r="P814" s="15"/>
      <c r="Q814" s="11"/>
      <c r="R814" s="11"/>
      <c r="S814" s="11"/>
      <c r="T814" s="11"/>
      <c r="U814" s="15"/>
      <c r="V814" s="11"/>
      <c r="W814" s="11"/>
      <c r="X814" s="11"/>
      <c r="Y814" s="11"/>
      <c r="Z814" s="11"/>
    </row>
    <row r="815">
      <c r="A815" s="18"/>
      <c r="B815" s="11"/>
      <c r="C815" s="11"/>
      <c r="D815" s="11"/>
      <c r="E815" s="11"/>
      <c r="F815" s="11"/>
      <c r="G815" s="11"/>
      <c r="H815" s="11"/>
      <c r="I815" s="11"/>
      <c r="J815" s="11"/>
      <c r="K815" s="11"/>
      <c r="L815" s="15"/>
      <c r="M815" s="15"/>
      <c r="N815" s="15"/>
      <c r="O815" s="15"/>
      <c r="P815" s="15"/>
      <c r="Q815" s="11"/>
      <c r="R815" s="11"/>
      <c r="S815" s="11"/>
      <c r="T815" s="11"/>
      <c r="U815" s="15"/>
      <c r="V815" s="11"/>
      <c r="W815" s="11"/>
      <c r="X815" s="11"/>
      <c r="Y815" s="11"/>
      <c r="Z815" s="11"/>
    </row>
    <row r="816">
      <c r="A816" s="18"/>
      <c r="B816" s="11"/>
      <c r="C816" s="11"/>
      <c r="D816" s="11"/>
      <c r="E816" s="11"/>
      <c r="F816" s="11"/>
      <c r="G816" s="11"/>
      <c r="H816" s="11"/>
      <c r="I816" s="11"/>
      <c r="J816" s="11"/>
      <c r="K816" s="11"/>
      <c r="L816" s="15"/>
      <c r="M816" s="15"/>
      <c r="N816" s="15"/>
      <c r="O816" s="15"/>
      <c r="P816" s="15"/>
      <c r="Q816" s="11"/>
      <c r="R816" s="11"/>
      <c r="S816" s="11"/>
      <c r="T816" s="11"/>
      <c r="U816" s="15"/>
      <c r="V816" s="11"/>
      <c r="W816" s="11"/>
      <c r="X816" s="11"/>
      <c r="Y816" s="11"/>
      <c r="Z816" s="11"/>
    </row>
    <row r="817">
      <c r="A817" s="18"/>
      <c r="B817" s="11"/>
      <c r="C817" s="11"/>
      <c r="D817" s="11"/>
      <c r="E817" s="11"/>
      <c r="F817" s="11"/>
      <c r="G817" s="11"/>
      <c r="H817" s="11"/>
      <c r="I817" s="11"/>
      <c r="J817" s="11"/>
      <c r="K817" s="11"/>
      <c r="L817" s="15"/>
      <c r="M817" s="15"/>
      <c r="N817" s="15"/>
      <c r="O817" s="15"/>
      <c r="P817" s="15"/>
      <c r="Q817" s="11"/>
      <c r="R817" s="11"/>
      <c r="S817" s="11"/>
      <c r="T817" s="11"/>
      <c r="U817" s="15"/>
      <c r="V817" s="11"/>
      <c r="W817" s="11"/>
      <c r="X817" s="11"/>
      <c r="Y817" s="11"/>
      <c r="Z817" s="11"/>
    </row>
    <row r="818">
      <c r="A818" s="18"/>
      <c r="B818" s="11"/>
      <c r="C818" s="11"/>
      <c r="D818" s="11"/>
      <c r="E818" s="11"/>
      <c r="F818" s="11"/>
      <c r="G818" s="11"/>
      <c r="H818" s="11"/>
      <c r="I818" s="11"/>
      <c r="J818" s="11"/>
      <c r="K818" s="11"/>
      <c r="L818" s="15"/>
      <c r="M818" s="15"/>
      <c r="N818" s="15"/>
      <c r="O818" s="15"/>
      <c r="P818" s="15"/>
      <c r="Q818" s="11"/>
      <c r="R818" s="11"/>
      <c r="S818" s="11"/>
      <c r="T818" s="11"/>
      <c r="U818" s="15"/>
      <c r="V818" s="11"/>
      <c r="W818" s="11"/>
      <c r="X818" s="11"/>
      <c r="Y818" s="11"/>
      <c r="Z818" s="11"/>
    </row>
    <row r="819">
      <c r="A819" s="18"/>
      <c r="B819" s="11"/>
      <c r="C819" s="11"/>
      <c r="D819" s="11"/>
      <c r="E819" s="11"/>
      <c r="F819" s="11"/>
      <c r="G819" s="11"/>
      <c r="H819" s="11"/>
      <c r="I819" s="11"/>
      <c r="J819" s="11"/>
      <c r="K819" s="11"/>
      <c r="L819" s="15"/>
      <c r="M819" s="15"/>
      <c r="N819" s="15"/>
      <c r="O819" s="15"/>
      <c r="P819" s="15"/>
      <c r="Q819" s="11"/>
      <c r="R819" s="11"/>
      <c r="S819" s="11"/>
      <c r="T819" s="11"/>
      <c r="U819" s="15"/>
      <c r="V819" s="11"/>
      <c r="W819" s="11"/>
      <c r="X819" s="11"/>
      <c r="Y819" s="11"/>
      <c r="Z819" s="11"/>
    </row>
    <row r="820">
      <c r="A820" s="18"/>
      <c r="B820" s="11"/>
      <c r="C820" s="11"/>
      <c r="D820" s="11"/>
      <c r="E820" s="11"/>
      <c r="F820" s="11"/>
      <c r="G820" s="11"/>
      <c r="H820" s="11"/>
      <c r="I820" s="11"/>
      <c r="J820" s="11"/>
      <c r="K820" s="11"/>
      <c r="L820" s="15"/>
      <c r="M820" s="15"/>
      <c r="N820" s="15"/>
      <c r="O820" s="15"/>
      <c r="P820" s="15"/>
      <c r="Q820" s="11"/>
      <c r="R820" s="11"/>
      <c r="S820" s="11"/>
      <c r="T820" s="11"/>
      <c r="U820" s="15"/>
      <c r="V820" s="11"/>
      <c r="W820" s="11"/>
      <c r="X820" s="11"/>
      <c r="Y820" s="11"/>
      <c r="Z820" s="11"/>
    </row>
    <row r="821">
      <c r="A821" s="18"/>
      <c r="B821" s="11"/>
      <c r="C821" s="11"/>
      <c r="D821" s="11"/>
      <c r="E821" s="11"/>
      <c r="F821" s="11"/>
      <c r="G821" s="11"/>
      <c r="H821" s="11"/>
      <c r="I821" s="11"/>
      <c r="J821" s="11"/>
      <c r="K821" s="11"/>
      <c r="L821" s="15"/>
      <c r="M821" s="15"/>
      <c r="N821" s="15"/>
      <c r="O821" s="15"/>
      <c r="P821" s="15"/>
      <c r="Q821" s="11"/>
      <c r="R821" s="11"/>
      <c r="S821" s="11"/>
      <c r="T821" s="11"/>
      <c r="U821" s="15"/>
      <c r="V821" s="11"/>
      <c r="W821" s="11"/>
      <c r="X821" s="11"/>
      <c r="Y821" s="11"/>
      <c r="Z821" s="11"/>
    </row>
    <row r="822">
      <c r="A822" s="18"/>
      <c r="B822" s="11"/>
      <c r="C822" s="11"/>
      <c r="D822" s="11"/>
      <c r="E822" s="11"/>
      <c r="F822" s="11"/>
      <c r="G822" s="11"/>
      <c r="H822" s="11"/>
      <c r="I822" s="11"/>
      <c r="J822" s="11"/>
      <c r="K822" s="11"/>
      <c r="L822" s="15"/>
      <c r="M822" s="15"/>
      <c r="N822" s="15"/>
      <c r="O822" s="15"/>
      <c r="P822" s="15"/>
      <c r="Q822" s="11"/>
      <c r="R822" s="11"/>
      <c r="S822" s="11"/>
      <c r="T822" s="11"/>
      <c r="U822" s="15"/>
      <c r="V822" s="11"/>
      <c r="W822" s="11"/>
      <c r="X822" s="11"/>
      <c r="Y822" s="11"/>
      <c r="Z822" s="11"/>
    </row>
    <row r="823">
      <c r="A823" s="18"/>
      <c r="B823" s="11"/>
      <c r="C823" s="11"/>
      <c r="D823" s="11"/>
      <c r="E823" s="11"/>
      <c r="F823" s="11"/>
      <c r="G823" s="11"/>
      <c r="H823" s="11"/>
      <c r="I823" s="11"/>
      <c r="J823" s="11"/>
      <c r="K823" s="11"/>
      <c r="L823" s="15"/>
      <c r="M823" s="15"/>
      <c r="N823" s="15"/>
      <c r="O823" s="15"/>
      <c r="P823" s="15"/>
      <c r="Q823" s="11"/>
      <c r="R823" s="11"/>
      <c r="S823" s="11"/>
      <c r="T823" s="11"/>
      <c r="U823" s="15"/>
      <c r="V823" s="11"/>
      <c r="W823" s="11"/>
      <c r="X823" s="11"/>
      <c r="Y823" s="11"/>
      <c r="Z823" s="11"/>
    </row>
    <row r="824">
      <c r="A824" s="18"/>
      <c r="B824" s="11"/>
      <c r="C824" s="11"/>
      <c r="D824" s="11"/>
      <c r="E824" s="11"/>
      <c r="F824" s="11"/>
      <c r="G824" s="11"/>
      <c r="H824" s="11"/>
      <c r="I824" s="11"/>
      <c r="J824" s="11"/>
      <c r="K824" s="11"/>
      <c r="L824" s="15"/>
      <c r="M824" s="15"/>
      <c r="N824" s="15"/>
      <c r="O824" s="15"/>
      <c r="P824" s="15"/>
      <c r="Q824" s="11"/>
      <c r="R824" s="11"/>
      <c r="S824" s="11"/>
      <c r="T824" s="11"/>
      <c r="U824" s="15"/>
      <c r="V824" s="11"/>
      <c r="W824" s="11"/>
      <c r="X824" s="11"/>
      <c r="Y824" s="11"/>
      <c r="Z824" s="11"/>
    </row>
    <row r="825">
      <c r="A825" s="18"/>
      <c r="B825" s="11"/>
      <c r="C825" s="11"/>
      <c r="D825" s="11"/>
      <c r="E825" s="11"/>
      <c r="F825" s="11"/>
      <c r="G825" s="11"/>
      <c r="H825" s="11"/>
      <c r="I825" s="11"/>
      <c r="J825" s="11"/>
      <c r="K825" s="11"/>
      <c r="L825" s="15"/>
      <c r="M825" s="15"/>
      <c r="N825" s="15"/>
      <c r="O825" s="15"/>
      <c r="P825" s="15"/>
      <c r="Q825" s="11"/>
      <c r="R825" s="11"/>
      <c r="S825" s="11"/>
      <c r="T825" s="11"/>
      <c r="U825" s="15"/>
      <c r="V825" s="11"/>
      <c r="W825" s="11"/>
      <c r="X825" s="11"/>
      <c r="Y825" s="11"/>
      <c r="Z825" s="11"/>
    </row>
    <row r="826">
      <c r="A826" s="18"/>
      <c r="B826" s="11"/>
      <c r="C826" s="11"/>
      <c r="D826" s="11"/>
      <c r="E826" s="11"/>
      <c r="F826" s="11"/>
      <c r="G826" s="11"/>
      <c r="H826" s="11"/>
      <c r="I826" s="11"/>
      <c r="J826" s="11"/>
      <c r="K826" s="11"/>
      <c r="L826" s="15"/>
      <c r="M826" s="15"/>
      <c r="N826" s="15"/>
      <c r="O826" s="15"/>
      <c r="P826" s="15"/>
      <c r="Q826" s="11"/>
      <c r="R826" s="11"/>
      <c r="S826" s="11"/>
      <c r="T826" s="11"/>
      <c r="U826" s="15"/>
      <c r="V826" s="11"/>
      <c r="W826" s="11"/>
      <c r="X826" s="11"/>
      <c r="Y826" s="11"/>
      <c r="Z826" s="11"/>
    </row>
    <row r="827">
      <c r="A827" s="18"/>
      <c r="B827" s="11"/>
      <c r="C827" s="11"/>
      <c r="D827" s="11"/>
      <c r="E827" s="11"/>
      <c r="F827" s="11"/>
      <c r="G827" s="11"/>
      <c r="H827" s="11"/>
      <c r="I827" s="11"/>
      <c r="J827" s="11"/>
      <c r="K827" s="11"/>
      <c r="L827" s="15"/>
      <c r="M827" s="15"/>
      <c r="N827" s="15"/>
      <c r="O827" s="15"/>
      <c r="P827" s="15"/>
      <c r="Q827" s="11"/>
      <c r="R827" s="11"/>
      <c r="S827" s="11"/>
      <c r="T827" s="11"/>
      <c r="U827" s="15"/>
      <c r="V827" s="11"/>
      <c r="W827" s="11"/>
      <c r="X827" s="11"/>
      <c r="Y827" s="11"/>
      <c r="Z827" s="11"/>
    </row>
    <row r="828">
      <c r="A828" s="18"/>
      <c r="B828" s="11"/>
      <c r="C828" s="11"/>
      <c r="D828" s="11"/>
      <c r="E828" s="11"/>
      <c r="F828" s="11"/>
      <c r="G828" s="11"/>
      <c r="H828" s="11"/>
      <c r="I828" s="11"/>
      <c r="J828" s="11"/>
      <c r="K828" s="11"/>
      <c r="L828" s="15"/>
      <c r="M828" s="15"/>
      <c r="N828" s="15"/>
      <c r="O828" s="15"/>
      <c r="P828" s="15"/>
      <c r="Q828" s="11"/>
      <c r="R828" s="11"/>
      <c r="S828" s="11"/>
      <c r="T828" s="11"/>
      <c r="U828" s="15"/>
      <c r="V828" s="11"/>
      <c r="W828" s="11"/>
      <c r="X828" s="11"/>
      <c r="Y828" s="11"/>
      <c r="Z828" s="11"/>
    </row>
    <row r="829">
      <c r="A829" s="18"/>
      <c r="B829" s="11"/>
      <c r="C829" s="11"/>
      <c r="D829" s="11"/>
      <c r="E829" s="11"/>
      <c r="F829" s="11"/>
      <c r="G829" s="11"/>
      <c r="H829" s="11"/>
      <c r="I829" s="11"/>
      <c r="J829" s="11"/>
      <c r="K829" s="11"/>
      <c r="L829" s="15"/>
      <c r="M829" s="15"/>
      <c r="N829" s="15"/>
      <c r="O829" s="15"/>
      <c r="P829" s="15"/>
      <c r="Q829" s="11"/>
      <c r="R829" s="11"/>
      <c r="S829" s="11"/>
      <c r="T829" s="11"/>
      <c r="U829" s="15"/>
      <c r="V829" s="11"/>
      <c r="W829" s="11"/>
      <c r="X829" s="11"/>
      <c r="Y829" s="11"/>
      <c r="Z829" s="11"/>
    </row>
    <row r="830">
      <c r="A830" s="18"/>
      <c r="B830" s="11"/>
      <c r="C830" s="11"/>
      <c r="D830" s="11"/>
      <c r="E830" s="11"/>
      <c r="F830" s="11"/>
      <c r="G830" s="11"/>
      <c r="H830" s="11"/>
      <c r="I830" s="11"/>
      <c r="J830" s="11"/>
      <c r="K830" s="11"/>
      <c r="L830" s="15"/>
      <c r="M830" s="15"/>
      <c r="N830" s="15"/>
      <c r="O830" s="15"/>
      <c r="P830" s="15"/>
      <c r="Q830" s="11"/>
      <c r="R830" s="11"/>
      <c r="S830" s="11"/>
      <c r="T830" s="11"/>
      <c r="U830" s="15"/>
      <c r="V830" s="11"/>
      <c r="W830" s="11"/>
      <c r="X830" s="11"/>
      <c r="Y830" s="11"/>
      <c r="Z830" s="11"/>
    </row>
    <row r="831">
      <c r="A831" s="18"/>
      <c r="B831" s="11"/>
      <c r="C831" s="11"/>
      <c r="D831" s="11"/>
      <c r="E831" s="11"/>
      <c r="F831" s="11"/>
      <c r="G831" s="11"/>
      <c r="H831" s="11"/>
      <c r="I831" s="11"/>
      <c r="J831" s="11"/>
      <c r="K831" s="11"/>
      <c r="L831" s="15"/>
      <c r="M831" s="15"/>
      <c r="N831" s="15"/>
      <c r="O831" s="15"/>
      <c r="P831" s="15"/>
      <c r="Q831" s="11"/>
      <c r="R831" s="11"/>
      <c r="S831" s="11"/>
      <c r="T831" s="11"/>
      <c r="U831" s="15"/>
      <c r="V831" s="11"/>
      <c r="W831" s="11"/>
      <c r="X831" s="11"/>
      <c r="Y831" s="11"/>
      <c r="Z831" s="11"/>
    </row>
    <row r="832">
      <c r="A832" s="18"/>
      <c r="B832" s="11"/>
      <c r="C832" s="11"/>
      <c r="D832" s="11"/>
      <c r="E832" s="11"/>
      <c r="F832" s="11"/>
      <c r="G832" s="11"/>
      <c r="H832" s="11"/>
      <c r="I832" s="11"/>
      <c r="J832" s="11"/>
      <c r="K832" s="11"/>
      <c r="L832" s="15"/>
      <c r="M832" s="15"/>
      <c r="N832" s="15"/>
      <c r="O832" s="15"/>
      <c r="P832" s="15"/>
      <c r="Q832" s="11"/>
      <c r="R832" s="11"/>
      <c r="S832" s="11"/>
      <c r="T832" s="11"/>
      <c r="U832" s="15"/>
      <c r="V832" s="11"/>
      <c r="W832" s="11"/>
      <c r="X832" s="11"/>
      <c r="Y832" s="11"/>
      <c r="Z832" s="11"/>
    </row>
    <row r="833">
      <c r="A833" s="18"/>
      <c r="B833" s="11"/>
      <c r="C833" s="11"/>
      <c r="D833" s="11"/>
      <c r="E833" s="11"/>
      <c r="F833" s="11"/>
      <c r="G833" s="11"/>
      <c r="H833" s="11"/>
      <c r="I833" s="11"/>
      <c r="J833" s="11"/>
      <c r="K833" s="11"/>
      <c r="L833" s="15"/>
      <c r="M833" s="15"/>
      <c r="N833" s="15"/>
      <c r="O833" s="15"/>
      <c r="P833" s="15"/>
      <c r="Q833" s="11"/>
      <c r="R833" s="11"/>
      <c r="S833" s="11"/>
      <c r="T833" s="11"/>
      <c r="U833" s="15"/>
      <c r="V833" s="11"/>
      <c r="W833" s="11"/>
      <c r="X833" s="11"/>
      <c r="Y833" s="11"/>
      <c r="Z833" s="11"/>
    </row>
    <row r="834">
      <c r="A834" s="18"/>
      <c r="B834" s="11"/>
      <c r="C834" s="11"/>
      <c r="D834" s="11"/>
      <c r="E834" s="11"/>
      <c r="F834" s="11"/>
      <c r="G834" s="11"/>
      <c r="H834" s="11"/>
      <c r="I834" s="11"/>
      <c r="J834" s="11"/>
      <c r="K834" s="11"/>
      <c r="L834" s="15"/>
      <c r="M834" s="15"/>
      <c r="N834" s="15"/>
      <c r="O834" s="15"/>
      <c r="P834" s="15"/>
      <c r="Q834" s="11"/>
      <c r="R834" s="11"/>
      <c r="S834" s="11"/>
      <c r="T834" s="11"/>
      <c r="U834" s="15"/>
      <c r="V834" s="11"/>
      <c r="W834" s="11"/>
      <c r="X834" s="11"/>
      <c r="Y834" s="11"/>
      <c r="Z834" s="11"/>
    </row>
    <row r="835">
      <c r="A835" s="18"/>
      <c r="B835" s="11"/>
      <c r="C835" s="11"/>
      <c r="D835" s="11"/>
      <c r="E835" s="11"/>
      <c r="F835" s="11"/>
      <c r="G835" s="11"/>
      <c r="H835" s="11"/>
      <c r="I835" s="11"/>
      <c r="J835" s="11"/>
      <c r="K835" s="11"/>
      <c r="L835" s="15"/>
      <c r="M835" s="15"/>
      <c r="N835" s="15"/>
      <c r="O835" s="15"/>
      <c r="P835" s="15"/>
      <c r="Q835" s="11"/>
      <c r="R835" s="11"/>
      <c r="S835" s="11"/>
      <c r="T835" s="11"/>
      <c r="U835" s="15"/>
      <c r="V835" s="11"/>
      <c r="W835" s="11"/>
      <c r="X835" s="11"/>
      <c r="Y835" s="11"/>
      <c r="Z835" s="11"/>
    </row>
    <row r="836">
      <c r="A836" s="18"/>
      <c r="B836" s="11"/>
      <c r="C836" s="11"/>
      <c r="D836" s="11"/>
      <c r="E836" s="11"/>
      <c r="F836" s="11"/>
      <c r="G836" s="11"/>
      <c r="H836" s="11"/>
      <c r="I836" s="11"/>
      <c r="J836" s="11"/>
      <c r="K836" s="11"/>
      <c r="L836" s="15"/>
      <c r="M836" s="15"/>
      <c r="N836" s="15"/>
      <c r="O836" s="15"/>
      <c r="P836" s="15"/>
      <c r="Q836" s="11"/>
      <c r="R836" s="11"/>
      <c r="S836" s="11"/>
      <c r="T836" s="11"/>
      <c r="U836" s="15"/>
      <c r="V836" s="11"/>
      <c r="W836" s="11"/>
      <c r="X836" s="11"/>
      <c r="Y836" s="11"/>
      <c r="Z836" s="11"/>
    </row>
    <row r="837">
      <c r="A837" s="18"/>
      <c r="B837" s="11"/>
      <c r="C837" s="11"/>
      <c r="D837" s="11"/>
      <c r="E837" s="11"/>
      <c r="F837" s="11"/>
      <c r="G837" s="11"/>
      <c r="H837" s="11"/>
      <c r="I837" s="11"/>
      <c r="J837" s="11"/>
      <c r="K837" s="11"/>
      <c r="L837" s="15"/>
      <c r="M837" s="15"/>
      <c r="N837" s="15"/>
      <c r="O837" s="15"/>
      <c r="P837" s="15"/>
      <c r="Q837" s="11"/>
      <c r="R837" s="11"/>
      <c r="S837" s="11"/>
      <c r="T837" s="11"/>
      <c r="U837" s="15"/>
      <c r="V837" s="11"/>
      <c r="W837" s="11"/>
      <c r="X837" s="11"/>
      <c r="Y837" s="11"/>
      <c r="Z837" s="11"/>
    </row>
    <row r="838">
      <c r="A838" s="18"/>
      <c r="B838" s="11"/>
      <c r="C838" s="11"/>
      <c r="D838" s="11"/>
      <c r="E838" s="11"/>
      <c r="F838" s="11"/>
      <c r="G838" s="11"/>
      <c r="H838" s="11"/>
      <c r="I838" s="11"/>
      <c r="J838" s="11"/>
      <c r="K838" s="11"/>
      <c r="L838" s="15"/>
      <c r="M838" s="15"/>
      <c r="N838" s="15"/>
      <c r="O838" s="15"/>
      <c r="P838" s="15"/>
      <c r="Q838" s="11"/>
      <c r="R838" s="11"/>
      <c r="S838" s="11"/>
      <c r="T838" s="11"/>
      <c r="U838" s="15"/>
      <c r="V838" s="11"/>
      <c r="W838" s="11"/>
      <c r="X838" s="11"/>
      <c r="Y838" s="11"/>
      <c r="Z838" s="11"/>
    </row>
    <row r="839">
      <c r="A839" s="18"/>
      <c r="B839" s="11"/>
      <c r="C839" s="11"/>
      <c r="D839" s="11"/>
      <c r="E839" s="11"/>
      <c r="F839" s="11"/>
      <c r="G839" s="11"/>
      <c r="H839" s="11"/>
      <c r="I839" s="11"/>
      <c r="J839" s="11"/>
      <c r="K839" s="11"/>
      <c r="L839" s="15"/>
      <c r="M839" s="15"/>
      <c r="N839" s="15"/>
      <c r="O839" s="15"/>
      <c r="P839" s="15"/>
      <c r="Q839" s="11"/>
      <c r="R839" s="11"/>
      <c r="S839" s="11"/>
      <c r="T839" s="11"/>
      <c r="U839" s="15"/>
      <c r="V839" s="11"/>
      <c r="W839" s="11"/>
      <c r="X839" s="11"/>
      <c r="Y839" s="11"/>
      <c r="Z839" s="11"/>
    </row>
    <row r="840">
      <c r="A840" s="18"/>
      <c r="B840" s="11"/>
      <c r="C840" s="11"/>
      <c r="D840" s="11"/>
      <c r="E840" s="11"/>
      <c r="F840" s="11"/>
      <c r="G840" s="11"/>
      <c r="H840" s="11"/>
      <c r="I840" s="11"/>
      <c r="J840" s="11"/>
      <c r="K840" s="11"/>
      <c r="L840" s="15"/>
      <c r="M840" s="15"/>
      <c r="N840" s="15"/>
      <c r="O840" s="15"/>
      <c r="P840" s="15"/>
      <c r="Q840" s="11"/>
      <c r="R840" s="11"/>
      <c r="S840" s="11"/>
      <c r="T840" s="11"/>
      <c r="U840" s="15"/>
      <c r="V840" s="11"/>
      <c r="W840" s="11"/>
      <c r="X840" s="11"/>
      <c r="Y840" s="11"/>
      <c r="Z840" s="11"/>
    </row>
    <row r="841">
      <c r="A841" s="18"/>
      <c r="B841" s="11"/>
      <c r="C841" s="11"/>
      <c r="D841" s="11"/>
      <c r="E841" s="11"/>
      <c r="F841" s="11"/>
      <c r="G841" s="11"/>
      <c r="H841" s="11"/>
      <c r="I841" s="11"/>
      <c r="J841" s="11"/>
      <c r="K841" s="11"/>
      <c r="L841" s="15"/>
      <c r="M841" s="15"/>
      <c r="N841" s="15"/>
      <c r="O841" s="15"/>
      <c r="P841" s="15"/>
      <c r="Q841" s="11"/>
      <c r="R841" s="11"/>
      <c r="S841" s="11"/>
      <c r="T841" s="11"/>
      <c r="U841" s="15"/>
      <c r="V841" s="11"/>
      <c r="W841" s="11"/>
      <c r="X841" s="11"/>
      <c r="Y841" s="11"/>
      <c r="Z841" s="11"/>
    </row>
    <row r="842">
      <c r="A842" s="18"/>
      <c r="B842" s="11"/>
      <c r="C842" s="11"/>
      <c r="D842" s="11"/>
      <c r="E842" s="11"/>
      <c r="F842" s="11"/>
      <c r="G842" s="11"/>
      <c r="H842" s="11"/>
      <c r="I842" s="11"/>
      <c r="J842" s="11"/>
      <c r="K842" s="11"/>
      <c r="L842" s="15"/>
      <c r="M842" s="15"/>
      <c r="N842" s="15"/>
      <c r="O842" s="15"/>
      <c r="P842" s="15"/>
      <c r="Q842" s="11"/>
      <c r="R842" s="11"/>
      <c r="S842" s="11"/>
      <c r="T842" s="11"/>
      <c r="U842" s="15"/>
      <c r="V842" s="11"/>
      <c r="W842" s="11"/>
      <c r="X842" s="11"/>
      <c r="Y842" s="11"/>
      <c r="Z842" s="11"/>
    </row>
    <row r="843">
      <c r="A843" s="18"/>
      <c r="B843" s="11"/>
      <c r="C843" s="11"/>
      <c r="D843" s="11"/>
      <c r="E843" s="11"/>
      <c r="F843" s="11"/>
      <c r="G843" s="11"/>
      <c r="H843" s="11"/>
      <c r="I843" s="11"/>
      <c r="J843" s="11"/>
      <c r="K843" s="11"/>
      <c r="L843" s="15"/>
      <c r="M843" s="15"/>
      <c r="N843" s="15"/>
      <c r="O843" s="15"/>
      <c r="P843" s="15"/>
      <c r="Q843" s="11"/>
      <c r="R843" s="11"/>
      <c r="S843" s="11"/>
      <c r="T843" s="11"/>
      <c r="U843" s="15"/>
      <c r="V843" s="11"/>
      <c r="W843" s="11"/>
      <c r="X843" s="11"/>
      <c r="Y843" s="11"/>
      <c r="Z843" s="11"/>
    </row>
    <row r="844">
      <c r="A844" s="18"/>
      <c r="B844" s="11"/>
      <c r="C844" s="11"/>
      <c r="D844" s="11"/>
      <c r="E844" s="11"/>
      <c r="F844" s="11"/>
      <c r="G844" s="11"/>
      <c r="H844" s="11"/>
      <c r="I844" s="11"/>
      <c r="J844" s="11"/>
      <c r="K844" s="11"/>
      <c r="L844" s="15"/>
      <c r="M844" s="15"/>
      <c r="N844" s="15"/>
      <c r="O844" s="15"/>
      <c r="P844" s="15"/>
      <c r="Q844" s="11"/>
      <c r="R844" s="11"/>
      <c r="S844" s="11"/>
      <c r="T844" s="11"/>
      <c r="U844" s="15"/>
      <c r="V844" s="11"/>
      <c r="W844" s="11"/>
      <c r="X844" s="11"/>
      <c r="Y844" s="11"/>
      <c r="Z844" s="11"/>
    </row>
    <row r="845">
      <c r="A845" s="18"/>
      <c r="B845" s="11"/>
      <c r="C845" s="11"/>
      <c r="D845" s="11"/>
      <c r="E845" s="11"/>
      <c r="F845" s="11"/>
      <c r="G845" s="11"/>
      <c r="H845" s="11"/>
      <c r="I845" s="11"/>
      <c r="J845" s="11"/>
      <c r="K845" s="11"/>
      <c r="L845" s="15"/>
      <c r="M845" s="15"/>
      <c r="N845" s="15"/>
      <c r="O845" s="15"/>
      <c r="P845" s="15"/>
      <c r="Q845" s="11"/>
      <c r="R845" s="11"/>
      <c r="S845" s="11"/>
      <c r="T845" s="11"/>
      <c r="U845" s="15"/>
      <c r="V845" s="11"/>
      <c r="W845" s="11"/>
      <c r="X845" s="11"/>
      <c r="Y845" s="11"/>
      <c r="Z845" s="11"/>
    </row>
    <row r="846">
      <c r="A846" s="18"/>
      <c r="B846" s="11"/>
      <c r="C846" s="11"/>
      <c r="D846" s="11"/>
      <c r="E846" s="11"/>
      <c r="F846" s="11"/>
      <c r="G846" s="11"/>
      <c r="H846" s="11"/>
      <c r="I846" s="11"/>
      <c r="J846" s="11"/>
      <c r="K846" s="11"/>
      <c r="L846" s="15"/>
      <c r="M846" s="15"/>
      <c r="N846" s="15"/>
      <c r="O846" s="15"/>
      <c r="P846" s="15"/>
      <c r="Q846" s="11"/>
      <c r="R846" s="11"/>
      <c r="S846" s="11"/>
      <c r="T846" s="11"/>
      <c r="U846" s="15"/>
      <c r="V846" s="11"/>
      <c r="W846" s="11"/>
      <c r="X846" s="11"/>
      <c r="Y846" s="11"/>
      <c r="Z846" s="11"/>
    </row>
    <row r="847">
      <c r="A847" s="18"/>
      <c r="B847" s="11"/>
      <c r="C847" s="11"/>
      <c r="D847" s="11"/>
      <c r="E847" s="11"/>
      <c r="F847" s="11"/>
      <c r="G847" s="11"/>
      <c r="H847" s="11"/>
      <c r="I847" s="11"/>
      <c r="J847" s="11"/>
      <c r="K847" s="11"/>
      <c r="L847" s="15"/>
      <c r="M847" s="15"/>
      <c r="N847" s="15"/>
      <c r="O847" s="15"/>
      <c r="P847" s="15"/>
      <c r="Q847" s="11"/>
      <c r="R847" s="11"/>
      <c r="S847" s="11"/>
      <c r="T847" s="11"/>
      <c r="U847" s="15"/>
      <c r="V847" s="11"/>
      <c r="W847" s="11"/>
      <c r="X847" s="11"/>
      <c r="Y847" s="11"/>
      <c r="Z847" s="11"/>
    </row>
    <row r="848">
      <c r="A848" s="18"/>
      <c r="B848" s="11"/>
      <c r="C848" s="11"/>
      <c r="D848" s="11"/>
      <c r="E848" s="11"/>
      <c r="F848" s="11"/>
      <c r="G848" s="11"/>
      <c r="H848" s="11"/>
      <c r="I848" s="11"/>
      <c r="J848" s="11"/>
      <c r="K848" s="11"/>
      <c r="L848" s="15"/>
      <c r="M848" s="15"/>
      <c r="N848" s="15"/>
      <c r="O848" s="15"/>
      <c r="P848" s="15"/>
      <c r="Q848" s="11"/>
      <c r="R848" s="11"/>
      <c r="S848" s="11"/>
      <c r="T848" s="11"/>
      <c r="U848" s="15"/>
      <c r="V848" s="11"/>
      <c r="W848" s="11"/>
      <c r="X848" s="11"/>
      <c r="Y848" s="11"/>
      <c r="Z848" s="11"/>
    </row>
    <row r="849">
      <c r="A849" s="18"/>
      <c r="B849" s="11"/>
      <c r="C849" s="11"/>
      <c r="D849" s="11"/>
      <c r="E849" s="11"/>
      <c r="F849" s="11"/>
      <c r="G849" s="11"/>
      <c r="H849" s="11"/>
      <c r="I849" s="11"/>
      <c r="J849" s="11"/>
      <c r="K849" s="11"/>
      <c r="L849" s="15"/>
      <c r="M849" s="15"/>
      <c r="N849" s="15"/>
      <c r="O849" s="15"/>
      <c r="P849" s="15"/>
      <c r="Q849" s="11"/>
      <c r="R849" s="11"/>
      <c r="S849" s="11"/>
      <c r="T849" s="11"/>
      <c r="U849" s="15"/>
      <c r="V849" s="11"/>
      <c r="W849" s="11"/>
      <c r="X849" s="11"/>
      <c r="Y849" s="11"/>
      <c r="Z849" s="11"/>
    </row>
    <row r="850">
      <c r="A850" s="18"/>
      <c r="B850" s="11"/>
      <c r="C850" s="11"/>
      <c r="D850" s="11"/>
      <c r="E850" s="11"/>
      <c r="F850" s="11"/>
      <c r="G850" s="11"/>
      <c r="H850" s="11"/>
      <c r="I850" s="11"/>
      <c r="J850" s="11"/>
      <c r="K850" s="11"/>
      <c r="L850" s="15"/>
      <c r="M850" s="15"/>
      <c r="N850" s="15"/>
      <c r="O850" s="15"/>
      <c r="P850" s="15"/>
      <c r="Q850" s="11"/>
      <c r="R850" s="11"/>
      <c r="S850" s="11"/>
      <c r="T850" s="11"/>
      <c r="U850" s="15"/>
      <c r="V850" s="11"/>
      <c r="W850" s="11"/>
      <c r="X850" s="11"/>
      <c r="Y850" s="11"/>
      <c r="Z850" s="11"/>
    </row>
    <row r="851">
      <c r="A851" s="18"/>
      <c r="B851" s="11"/>
      <c r="C851" s="11"/>
      <c r="D851" s="11"/>
      <c r="E851" s="11"/>
      <c r="F851" s="11"/>
      <c r="G851" s="11"/>
      <c r="H851" s="11"/>
      <c r="I851" s="11"/>
      <c r="J851" s="11"/>
      <c r="K851" s="11"/>
      <c r="L851" s="15"/>
      <c r="M851" s="15"/>
      <c r="N851" s="15"/>
      <c r="O851" s="15"/>
      <c r="P851" s="15"/>
      <c r="Q851" s="11"/>
      <c r="R851" s="11"/>
      <c r="S851" s="11"/>
      <c r="T851" s="11"/>
      <c r="U851" s="15"/>
      <c r="V851" s="11"/>
      <c r="W851" s="11"/>
      <c r="X851" s="11"/>
      <c r="Y851" s="11"/>
      <c r="Z851" s="11"/>
    </row>
    <row r="852">
      <c r="A852" s="18"/>
      <c r="B852" s="11"/>
      <c r="C852" s="11"/>
      <c r="D852" s="11"/>
      <c r="E852" s="11"/>
      <c r="F852" s="11"/>
      <c r="G852" s="11"/>
      <c r="H852" s="11"/>
      <c r="I852" s="11"/>
      <c r="J852" s="11"/>
      <c r="K852" s="11"/>
      <c r="L852" s="15"/>
      <c r="M852" s="15"/>
      <c r="N852" s="15"/>
      <c r="O852" s="15"/>
      <c r="P852" s="15"/>
      <c r="Q852" s="11"/>
      <c r="R852" s="11"/>
      <c r="S852" s="11"/>
      <c r="T852" s="11"/>
      <c r="U852" s="15"/>
      <c r="V852" s="11"/>
      <c r="W852" s="11"/>
      <c r="X852" s="11"/>
      <c r="Y852" s="11"/>
      <c r="Z852" s="11"/>
    </row>
    <row r="853">
      <c r="A853" s="18"/>
      <c r="B853" s="11"/>
      <c r="C853" s="11"/>
      <c r="D853" s="11"/>
      <c r="E853" s="11"/>
      <c r="F853" s="11"/>
      <c r="G853" s="11"/>
      <c r="H853" s="11"/>
      <c r="I853" s="11"/>
      <c r="J853" s="11"/>
      <c r="K853" s="11"/>
      <c r="L853" s="15"/>
      <c r="M853" s="15"/>
      <c r="N853" s="15"/>
      <c r="O853" s="15"/>
      <c r="P853" s="15"/>
      <c r="Q853" s="11"/>
      <c r="R853" s="11"/>
      <c r="S853" s="11"/>
      <c r="T853" s="11"/>
      <c r="U853" s="15"/>
      <c r="V853" s="11"/>
      <c r="W853" s="11"/>
      <c r="X853" s="11"/>
      <c r="Y853" s="11"/>
      <c r="Z853" s="11"/>
    </row>
    <row r="854">
      <c r="A854" s="18"/>
      <c r="B854" s="11"/>
      <c r="C854" s="11"/>
      <c r="D854" s="11"/>
      <c r="E854" s="11"/>
      <c r="F854" s="11"/>
      <c r="G854" s="11"/>
      <c r="H854" s="11"/>
      <c r="I854" s="11"/>
      <c r="J854" s="11"/>
      <c r="K854" s="11"/>
      <c r="L854" s="15"/>
      <c r="M854" s="15"/>
      <c r="N854" s="15"/>
      <c r="O854" s="15"/>
      <c r="P854" s="15"/>
      <c r="Q854" s="11"/>
      <c r="R854" s="11"/>
      <c r="S854" s="11"/>
      <c r="T854" s="11"/>
      <c r="U854" s="15"/>
      <c r="V854" s="11"/>
      <c r="W854" s="11"/>
      <c r="X854" s="11"/>
      <c r="Y854" s="11"/>
      <c r="Z854" s="11"/>
    </row>
    <row r="855">
      <c r="A855" s="18"/>
      <c r="B855" s="11"/>
      <c r="C855" s="11"/>
      <c r="D855" s="11"/>
      <c r="E855" s="11"/>
      <c r="F855" s="11"/>
      <c r="G855" s="11"/>
      <c r="H855" s="11"/>
      <c r="I855" s="11"/>
      <c r="J855" s="11"/>
      <c r="K855" s="11"/>
      <c r="L855" s="15"/>
      <c r="M855" s="15"/>
      <c r="N855" s="15"/>
      <c r="O855" s="15"/>
      <c r="P855" s="15"/>
      <c r="Q855" s="11"/>
      <c r="R855" s="11"/>
      <c r="S855" s="11"/>
      <c r="T855" s="11"/>
      <c r="U855" s="15"/>
      <c r="V855" s="11"/>
      <c r="W855" s="11"/>
      <c r="X855" s="11"/>
      <c r="Y855" s="11"/>
      <c r="Z855" s="11"/>
    </row>
    <row r="856">
      <c r="A856" s="18"/>
      <c r="B856" s="11"/>
      <c r="C856" s="11"/>
      <c r="D856" s="11"/>
      <c r="E856" s="11"/>
      <c r="F856" s="11"/>
      <c r="G856" s="11"/>
      <c r="H856" s="11"/>
      <c r="I856" s="11"/>
      <c r="J856" s="11"/>
      <c r="K856" s="11"/>
      <c r="L856" s="15"/>
      <c r="M856" s="15"/>
      <c r="N856" s="15"/>
      <c r="O856" s="15"/>
      <c r="P856" s="15"/>
      <c r="Q856" s="11"/>
      <c r="R856" s="11"/>
      <c r="S856" s="11"/>
      <c r="T856" s="11"/>
      <c r="U856" s="15"/>
      <c r="V856" s="11"/>
      <c r="W856" s="11"/>
      <c r="X856" s="11"/>
      <c r="Y856" s="11"/>
      <c r="Z856" s="11"/>
    </row>
    <row r="857">
      <c r="A857" s="18"/>
      <c r="B857" s="11"/>
      <c r="C857" s="11"/>
      <c r="D857" s="11"/>
      <c r="E857" s="11"/>
      <c r="F857" s="11"/>
      <c r="G857" s="11"/>
      <c r="H857" s="11"/>
      <c r="I857" s="11"/>
      <c r="J857" s="11"/>
      <c r="K857" s="11"/>
      <c r="L857" s="15"/>
      <c r="M857" s="15"/>
      <c r="N857" s="15"/>
      <c r="O857" s="15"/>
      <c r="P857" s="15"/>
      <c r="Q857" s="11"/>
      <c r="R857" s="11"/>
      <c r="S857" s="11"/>
      <c r="T857" s="11"/>
      <c r="U857" s="15"/>
      <c r="V857" s="11"/>
      <c r="W857" s="11"/>
      <c r="X857" s="11"/>
      <c r="Y857" s="11"/>
      <c r="Z857" s="11"/>
    </row>
    <row r="858">
      <c r="A858" s="18"/>
      <c r="B858" s="11"/>
      <c r="C858" s="11"/>
      <c r="D858" s="11"/>
      <c r="E858" s="11"/>
      <c r="F858" s="11"/>
      <c r="G858" s="11"/>
      <c r="H858" s="11"/>
      <c r="I858" s="11"/>
      <c r="J858" s="11"/>
      <c r="K858" s="11"/>
      <c r="L858" s="15"/>
      <c r="M858" s="15"/>
      <c r="N858" s="15"/>
      <c r="O858" s="15"/>
      <c r="P858" s="15"/>
      <c r="Q858" s="11"/>
      <c r="R858" s="11"/>
      <c r="S858" s="11"/>
      <c r="T858" s="11"/>
      <c r="U858" s="15"/>
      <c r="V858" s="11"/>
      <c r="W858" s="11"/>
      <c r="X858" s="11"/>
      <c r="Y858" s="11"/>
      <c r="Z858" s="11"/>
    </row>
    <row r="859">
      <c r="A859" s="18"/>
      <c r="B859" s="11"/>
      <c r="C859" s="11"/>
      <c r="D859" s="11"/>
      <c r="E859" s="11"/>
      <c r="F859" s="11"/>
      <c r="G859" s="11"/>
      <c r="H859" s="11"/>
      <c r="I859" s="11"/>
      <c r="J859" s="11"/>
      <c r="K859" s="11"/>
      <c r="L859" s="15"/>
      <c r="M859" s="15"/>
      <c r="N859" s="15"/>
      <c r="O859" s="15"/>
      <c r="P859" s="15"/>
      <c r="Q859" s="11"/>
      <c r="R859" s="11"/>
      <c r="S859" s="11"/>
      <c r="T859" s="11"/>
      <c r="U859" s="15"/>
      <c r="V859" s="11"/>
      <c r="W859" s="11"/>
      <c r="X859" s="11"/>
      <c r="Y859" s="11"/>
      <c r="Z859" s="11"/>
    </row>
    <row r="860">
      <c r="A860" s="18"/>
      <c r="B860" s="11"/>
      <c r="C860" s="11"/>
      <c r="D860" s="11"/>
      <c r="E860" s="11"/>
      <c r="F860" s="11"/>
      <c r="G860" s="11"/>
      <c r="H860" s="11"/>
      <c r="I860" s="11"/>
      <c r="J860" s="11"/>
      <c r="K860" s="11"/>
      <c r="L860" s="15"/>
      <c r="M860" s="15"/>
      <c r="N860" s="15"/>
      <c r="O860" s="15"/>
      <c r="P860" s="15"/>
      <c r="Q860" s="11"/>
      <c r="R860" s="11"/>
      <c r="S860" s="11"/>
      <c r="T860" s="11"/>
      <c r="U860" s="15"/>
      <c r="V860" s="11"/>
      <c r="W860" s="11"/>
      <c r="X860" s="11"/>
      <c r="Y860" s="11"/>
      <c r="Z860" s="11"/>
    </row>
    <row r="861">
      <c r="A861" s="18"/>
      <c r="B861" s="11"/>
      <c r="C861" s="11"/>
      <c r="D861" s="11"/>
      <c r="E861" s="11"/>
      <c r="F861" s="11"/>
      <c r="G861" s="11"/>
      <c r="H861" s="11"/>
      <c r="I861" s="11"/>
      <c r="J861" s="11"/>
      <c r="K861" s="11"/>
      <c r="L861" s="15"/>
      <c r="M861" s="15"/>
      <c r="N861" s="15"/>
      <c r="O861" s="15"/>
      <c r="P861" s="15"/>
      <c r="Q861" s="11"/>
      <c r="R861" s="11"/>
      <c r="S861" s="11"/>
      <c r="T861" s="11"/>
      <c r="U861" s="15"/>
      <c r="V861" s="11"/>
      <c r="W861" s="11"/>
      <c r="X861" s="11"/>
      <c r="Y861" s="11"/>
      <c r="Z861" s="11"/>
    </row>
    <row r="862">
      <c r="A862" s="18"/>
      <c r="B862" s="11"/>
      <c r="C862" s="11"/>
      <c r="D862" s="11"/>
      <c r="E862" s="11"/>
      <c r="F862" s="11"/>
      <c r="G862" s="11"/>
      <c r="H862" s="11"/>
      <c r="I862" s="11"/>
      <c r="J862" s="11"/>
      <c r="K862" s="11"/>
      <c r="L862" s="15"/>
      <c r="M862" s="15"/>
      <c r="N862" s="15"/>
      <c r="O862" s="15"/>
      <c r="P862" s="15"/>
      <c r="Q862" s="11"/>
      <c r="R862" s="11"/>
      <c r="S862" s="11"/>
      <c r="T862" s="11"/>
      <c r="U862" s="15"/>
      <c r="V862" s="11"/>
      <c r="W862" s="11"/>
      <c r="X862" s="11"/>
      <c r="Y862" s="11"/>
      <c r="Z862" s="11"/>
    </row>
    <row r="863">
      <c r="A863" s="18"/>
      <c r="B863" s="11"/>
      <c r="C863" s="11"/>
      <c r="D863" s="11"/>
      <c r="E863" s="11"/>
      <c r="F863" s="11"/>
      <c r="G863" s="11"/>
      <c r="H863" s="11"/>
      <c r="I863" s="11"/>
      <c r="J863" s="11"/>
      <c r="K863" s="11"/>
      <c r="L863" s="15"/>
      <c r="M863" s="15"/>
      <c r="N863" s="15"/>
      <c r="O863" s="15"/>
      <c r="P863" s="15"/>
      <c r="Q863" s="11"/>
      <c r="R863" s="11"/>
      <c r="S863" s="11"/>
      <c r="T863" s="11"/>
      <c r="U863" s="15"/>
      <c r="V863" s="11"/>
      <c r="W863" s="11"/>
      <c r="X863" s="11"/>
      <c r="Y863" s="11"/>
      <c r="Z863" s="11"/>
    </row>
    <row r="864">
      <c r="A864" s="18"/>
      <c r="B864" s="11"/>
      <c r="C864" s="11"/>
      <c r="D864" s="11"/>
      <c r="E864" s="11"/>
      <c r="F864" s="11"/>
      <c r="G864" s="11"/>
      <c r="H864" s="11"/>
      <c r="I864" s="11"/>
      <c r="J864" s="11"/>
      <c r="K864" s="11"/>
      <c r="L864" s="15"/>
      <c r="M864" s="15"/>
      <c r="N864" s="15"/>
      <c r="O864" s="15"/>
      <c r="P864" s="15"/>
      <c r="Q864" s="11"/>
      <c r="R864" s="11"/>
      <c r="S864" s="11"/>
      <c r="T864" s="11"/>
      <c r="U864" s="15"/>
      <c r="V864" s="11"/>
      <c r="W864" s="11"/>
      <c r="X864" s="11"/>
      <c r="Y864" s="11"/>
      <c r="Z864" s="11"/>
    </row>
    <row r="865">
      <c r="A865" s="18"/>
      <c r="B865" s="11"/>
      <c r="C865" s="11"/>
      <c r="D865" s="11"/>
      <c r="E865" s="11"/>
      <c r="F865" s="11"/>
      <c r="G865" s="11"/>
      <c r="H865" s="11"/>
      <c r="I865" s="11"/>
      <c r="J865" s="11"/>
      <c r="K865" s="11"/>
      <c r="L865" s="15"/>
      <c r="M865" s="15"/>
      <c r="N865" s="15"/>
      <c r="O865" s="15"/>
      <c r="P865" s="15"/>
      <c r="Q865" s="11"/>
      <c r="R865" s="11"/>
      <c r="S865" s="11"/>
      <c r="T865" s="11"/>
      <c r="U865" s="15"/>
      <c r="V865" s="11"/>
      <c r="W865" s="11"/>
      <c r="X865" s="11"/>
      <c r="Y865" s="11"/>
      <c r="Z865" s="11"/>
    </row>
    <row r="866">
      <c r="A866" s="18"/>
      <c r="B866" s="11"/>
      <c r="C866" s="11"/>
      <c r="D866" s="11"/>
      <c r="E866" s="11"/>
      <c r="F866" s="11"/>
      <c r="G866" s="11"/>
      <c r="H866" s="11"/>
      <c r="I866" s="11"/>
      <c r="J866" s="11"/>
      <c r="K866" s="11"/>
      <c r="L866" s="15"/>
      <c r="M866" s="15"/>
      <c r="N866" s="15"/>
      <c r="O866" s="15"/>
      <c r="P866" s="15"/>
      <c r="Q866" s="11"/>
      <c r="R866" s="11"/>
      <c r="S866" s="11"/>
      <c r="T866" s="11"/>
      <c r="U866" s="15"/>
      <c r="V866" s="11"/>
      <c r="W866" s="11"/>
      <c r="X866" s="11"/>
      <c r="Y866" s="11"/>
      <c r="Z866" s="11"/>
    </row>
    <row r="867">
      <c r="A867" s="18"/>
      <c r="B867" s="11"/>
      <c r="C867" s="11"/>
      <c r="D867" s="11"/>
      <c r="E867" s="11"/>
      <c r="F867" s="11"/>
      <c r="G867" s="11"/>
      <c r="H867" s="11"/>
      <c r="I867" s="11"/>
      <c r="J867" s="11"/>
      <c r="K867" s="11"/>
      <c r="L867" s="15"/>
      <c r="M867" s="15"/>
      <c r="N867" s="15"/>
      <c r="O867" s="15"/>
      <c r="P867" s="15"/>
      <c r="Q867" s="11"/>
      <c r="R867" s="11"/>
      <c r="S867" s="11"/>
      <c r="T867" s="11"/>
      <c r="U867" s="15"/>
      <c r="V867" s="11"/>
      <c r="W867" s="11"/>
      <c r="X867" s="11"/>
      <c r="Y867" s="11"/>
      <c r="Z867" s="11"/>
    </row>
    <row r="868">
      <c r="A868" s="18"/>
      <c r="B868" s="11"/>
      <c r="C868" s="11"/>
      <c r="D868" s="11"/>
      <c r="E868" s="11"/>
      <c r="F868" s="11"/>
      <c r="G868" s="11"/>
      <c r="H868" s="11"/>
      <c r="I868" s="11"/>
      <c r="J868" s="11"/>
      <c r="K868" s="11"/>
      <c r="L868" s="15"/>
      <c r="M868" s="15"/>
      <c r="N868" s="15"/>
      <c r="O868" s="15"/>
      <c r="P868" s="15"/>
      <c r="Q868" s="11"/>
      <c r="R868" s="11"/>
      <c r="S868" s="11"/>
      <c r="T868" s="11"/>
      <c r="U868" s="15"/>
      <c r="V868" s="11"/>
      <c r="W868" s="11"/>
      <c r="X868" s="11"/>
      <c r="Y868" s="11"/>
      <c r="Z868" s="11"/>
    </row>
    <row r="869">
      <c r="A869" s="18"/>
      <c r="B869" s="11"/>
      <c r="C869" s="11"/>
      <c r="D869" s="11"/>
      <c r="E869" s="11"/>
      <c r="F869" s="11"/>
      <c r="G869" s="11"/>
      <c r="H869" s="11"/>
      <c r="I869" s="11"/>
      <c r="J869" s="11"/>
      <c r="K869" s="11"/>
      <c r="L869" s="15"/>
      <c r="M869" s="15"/>
      <c r="N869" s="15"/>
      <c r="O869" s="15"/>
      <c r="P869" s="15"/>
      <c r="Q869" s="11"/>
      <c r="R869" s="11"/>
      <c r="S869" s="11"/>
      <c r="T869" s="11"/>
      <c r="U869" s="15"/>
      <c r="V869" s="11"/>
      <c r="W869" s="11"/>
      <c r="X869" s="11"/>
      <c r="Y869" s="11"/>
      <c r="Z869" s="11"/>
    </row>
    <row r="870">
      <c r="A870" s="18"/>
      <c r="B870" s="11"/>
      <c r="C870" s="11"/>
      <c r="D870" s="11"/>
      <c r="E870" s="11"/>
      <c r="F870" s="11"/>
      <c r="G870" s="11"/>
      <c r="H870" s="11"/>
      <c r="I870" s="11"/>
      <c r="J870" s="11"/>
      <c r="K870" s="11"/>
      <c r="L870" s="15"/>
      <c r="M870" s="15"/>
      <c r="N870" s="15"/>
      <c r="O870" s="15"/>
      <c r="P870" s="15"/>
      <c r="Q870" s="11"/>
      <c r="R870" s="11"/>
      <c r="S870" s="11"/>
      <c r="T870" s="11"/>
      <c r="U870" s="15"/>
      <c r="V870" s="11"/>
      <c r="W870" s="11"/>
      <c r="X870" s="11"/>
      <c r="Y870" s="11"/>
      <c r="Z870" s="11"/>
    </row>
    <row r="871">
      <c r="A871" s="18"/>
      <c r="B871" s="11"/>
      <c r="C871" s="11"/>
      <c r="D871" s="11"/>
      <c r="E871" s="11"/>
      <c r="F871" s="11"/>
      <c r="G871" s="11"/>
      <c r="H871" s="11"/>
      <c r="I871" s="11"/>
      <c r="J871" s="11"/>
      <c r="K871" s="11"/>
      <c r="L871" s="15"/>
      <c r="M871" s="15"/>
      <c r="N871" s="15"/>
      <c r="O871" s="15"/>
      <c r="P871" s="15"/>
      <c r="Q871" s="11"/>
      <c r="R871" s="11"/>
      <c r="S871" s="11"/>
      <c r="T871" s="11"/>
      <c r="U871" s="15"/>
      <c r="V871" s="11"/>
      <c r="W871" s="11"/>
      <c r="X871" s="11"/>
      <c r="Y871" s="11"/>
      <c r="Z871" s="11"/>
    </row>
    <row r="872">
      <c r="A872" s="18"/>
      <c r="B872" s="11"/>
      <c r="C872" s="11"/>
      <c r="D872" s="11"/>
      <c r="E872" s="11"/>
      <c r="F872" s="11"/>
      <c r="G872" s="11"/>
      <c r="H872" s="11"/>
      <c r="I872" s="11"/>
      <c r="J872" s="11"/>
      <c r="K872" s="11"/>
      <c r="L872" s="15"/>
      <c r="M872" s="15"/>
      <c r="N872" s="15"/>
      <c r="O872" s="15"/>
      <c r="P872" s="15"/>
      <c r="Q872" s="11"/>
      <c r="R872" s="11"/>
      <c r="S872" s="11"/>
      <c r="T872" s="11"/>
      <c r="U872" s="15"/>
      <c r="V872" s="11"/>
      <c r="W872" s="11"/>
      <c r="X872" s="11"/>
      <c r="Y872" s="11"/>
      <c r="Z872" s="11"/>
    </row>
    <row r="873">
      <c r="A873" s="18"/>
      <c r="B873" s="11"/>
      <c r="C873" s="11"/>
      <c r="D873" s="11"/>
      <c r="E873" s="11"/>
      <c r="F873" s="11"/>
      <c r="G873" s="11"/>
      <c r="H873" s="11"/>
      <c r="I873" s="11"/>
      <c r="J873" s="11"/>
      <c r="K873" s="11"/>
      <c r="L873" s="15"/>
      <c r="M873" s="15"/>
      <c r="N873" s="15"/>
      <c r="O873" s="15"/>
      <c r="P873" s="15"/>
      <c r="Q873" s="11"/>
      <c r="R873" s="11"/>
      <c r="S873" s="11"/>
      <c r="T873" s="11"/>
      <c r="U873" s="15"/>
      <c r="V873" s="11"/>
      <c r="W873" s="11"/>
      <c r="X873" s="11"/>
      <c r="Y873" s="11"/>
      <c r="Z873" s="11"/>
    </row>
    <row r="874">
      <c r="A874" s="18"/>
      <c r="B874" s="11"/>
      <c r="C874" s="11"/>
      <c r="D874" s="11"/>
      <c r="E874" s="11"/>
      <c r="F874" s="11"/>
      <c r="G874" s="11"/>
      <c r="H874" s="11"/>
      <c r="I874" s="11"/>
      <c r="J874" s="11"/>
      <c r="K874" s="11"/>
      <c r="L874" s="15"/>
      <c r="M874" s="15"/>
      <c r="N874" s="15"/>
      <c r="O874" s="15"/>
      <c r="P874" s="15"/>
      <c r="Q874" s="11"/>
      <c r="R874" s="11"/>
      <c r="S874" s="11"/>
      <c r="T874" s="11"/>
      <c r="U874" s="15"/>
      <c r="V874" s="11"/>
      <c r="W874" s="11"/>
      <c r="X874" s="11"/>
      <c r="Y874" s="11"/>
      <c r="Z874" s="11"/>
    </row>
    <row r="875">
      <c r="A875" s="18"/>
      <c r="B875" s="11"/>
      <c r="C875" s="11"/>
      <c r="D875" s="11"/>
      <c r="E875" s="11"/>
      <c r="F875" s="11"/>
      <c r="G875" s="11"/>
      <c r="H875" s="11"/>
      <c r="I875" s="11"/>
      <c r="J875" s="11"/>
      <c r="K875" s="11"/>
      <c r="L875" s="15"/>
      <c r="M875" s="15"/>
      <c r="N875" s="15"/>
      <c r="O875" s="15"/>
      <c r="P875" s="15"/>
      <c r="Q875" s="11"/>
      <c r="R875" s="11"/>
      <c r="S875" s="11"/>
      <c r="T875" s="11"/>
      <c r="U875" s="15"/>
      <c r="V875" s="11"/>
      <c r="W875" s="11"/>
      <c r="X875" s="11"/>
      <c r="Y875" s="11"/>
      <c r="Z875" s="11"/>
    </row>
    <row r="876">
      <c r="A876" s="18"/>
      <c r="B876" s="11"/>
      <c r="C876" s="11"/>
      <c r="D876" s="11"/>
      <c r="E876" s="11"/>
      <c r="F876" s="11"/>
      <c r="G876" s="11"/>
      <c r="H876" s="11"/>
      <c r="I876" s="11"/>
      <c r="J876" s="11"/>
      <c r="K876" s="11"/>
      <c r="L876" s="15"/>
      <c r="M876" s="15"/>
      <c r="N876" s="15"/>
      <c r="O876" s="15"/>
      <c r="P876" s="15"/>
      <c r="Q876" s="11"/>
      <c r="R876" s="11"/>
      <c r="S876" s="11"/>
      <c r="T876" s="11"/>
      <c r="U876" s="15"/>
      <c r="V876" s="11"/>
      <c r="W876" s="11"/>
      <c r="X876" s="11"/>
      <c r="Y876" s="11"/>
      <c r="Z876" s="11"/>
    </row>
    <row r="877">
      <c r="A877" s="18"/>
      <c r="B877" s="11"/>
      <c r="C877" s="11"/>
      <c r="D877" s="11"/>
      <c r="E877" s="11"/>
      <c r="F877" s="11"/>
      <c r="G877" s="11"/>
      <c r="H877" s="11"/>
      <c r="I877" s="11"/>
      <c r="J877" s="11"/>
      <c r="K877" s="11"/>
      <c r="L877" s="15"/>
      <c r="M877" s="15"/>
      <c r="N877" s="15"/>
      <c r="O877" s="15"/>
      <c r="P877" s="15"/>
      <c r="Q877" s="11"/>
      <c r="R877" s="11"/>
      <c r="S877" s="11"/>
      <c r="T877" s="11"/>
      <c r="U877" s="15"/>
      <c r="V877" s="11"/>
      <c r="W877" s="11"/>
      <c r="X877" s="11"/>
      <c r="Y877" s="11"/>
      <c r="Z877" s="11"/>
    </row>
    <row r="878">
      <c r="A878" s="18"/>
      <c r="B878" s="11"/>
      <c r="C878" s="11"/>
      <c r="D878" s="11"/>
      <c r="E878" s="11"/>
      <c r="F878" s="11"/>
      <c r="G878" s="11"/>
      <c r="H878" s="11"/>
      <c r="I878" s="11"/>
      <c r="J878" s="11"/>
      <c r="K878" s="11"/>
      <c r="L878" s="15"/>
      <c r="M878" s="15"/>
      <c r="N878" s="15"/>
      <c r="O878" s="15"/>
      <c r="P878" s="15"/>
      <c r="Q878" s="11"/>
      <c r="R878" s="11"/>
      <c r="S878" s="11"/>
      <c r="T878" s="11"/>
      <c r="U878" s="15"/>
      <c r="V878" s="11"/>
      <c r="W878" s="11"/>
      <c r="X878" s="11"/>
      <c r="Y878" s="11"/>
      <c r="Z878" s="11"/>
    </row>
    <row r="879">
      <c r="A879" s="18"/>
      <c r="B879" s="11"/>
      <c r="C879" s="11"/>
      <c r="D879" s="11"/>
      <c r="E879" s="11"/>
      <c r="F879" s="11"/>
      <c r="G879" s="11"/>
      <c r="H879" s="11"/>
      <c r="I879" s="11"/>
      <c r="J879" s="11"/>
      <c r="K879" s="11"/>
      <c r="L879" s="15"/>
      <c r="M879" s="15"/>
      <c r="N879" s="15"/>
      <c r="O879" s="15"/>
      <c r="P879" s="15"/>
      <c r="Q879" s="11"/>
      <c r="R879" s="11"/>
      <c r="S879" s="11"/>
      <c r="T879" s="11"/>
      <c r="U879" s="15"/>
      <c r="V879" s="11"/>
      <c r="W879" s="11"/>
      <c r="X879" s="11"/>
      <c r="Y879" s="11"/>
      <c r="Z879" s="11"/>
    </row>
    <row r="880">
      <c r="A880" s="18"/>
      <c r="B880" s="11"/>
      <c r="C880" s="11"/>
      <c r="D880" s="11"/>
      <c r="E880" s="11"/>
      <c r="F880" s="11"/>
      <c r="G880" s="11"/>
      <c r="H880" s="11"/>
      <c r="I880" s="11"/>
      <c r="J880" s="11"/>
      <c r="K880" s="11"/>
      <c r="L880" s="15"/>
      <c r="M880" s="15"/>
      <c r="N880" s="15"/>
      <c r="O880" s="15"/>
      <c r="P880" s="15"/>
      <c r="Q880" s="11"/>
      <c r="R880" s="11"/>
      <c r="S880" s="11"/>
      <c r="T880" s="11"/>
      <c r="U880" s="15"/>
      <c r="V880" s="11"/>
      <c r="W880" s="11"/>
      <c r="X880" s="11"/>
      <c r="Y880" s="11"/>
      <c r="Z880" s="11"/>
    </row>
    <row r="881">
      <c r="A881" s="18"/>
      <c r="B881" s="11"/>
      <c r="C881" s="11"/>
      <c r="D881" s="11"/>
      <c r="E881" s="11"/>
      <c r="F881" s="11"/>
      <c r="G881" s="11"/>
      <c r="H881" s="11"/>
      <c r="I881" s="11"/>
      <c r="J881" s="11"/>
      <c r="K881" s="11"/>
      <c r="L881" s="15"/>
      <c r="M881" s="15"/>
      <c r="N881" s="15"/>
      <c r="O881" s="15"/>
      <c r="P881" s="15"/>
      <c r="Q881" s="11"/>
      <c r="R881" s="11"/>
      <c r="S881" s="11"/>
      <c r="T881" s="11"/>
      <c r="U881" s="15"/>
      <c r="V881" s="11"/>
      <c r="W881" s="11"/>
      <c r="X881" s="11"/>
      <c r="Y881" s="11"/>
      <c r="Z881" s="11"/>
    </row>
    <row r="882">
      <c r="A882" s="18"/>
      <c r="B882" s="11"/>
      <c r="C882" s="11"/>
      <c r="D882" s="11"/>
      <c r="E882" s="11"/>
      <c r="F882" s="11"/>
      <c r="G882" s="11"/>
      <c r="H882" s="11"/>
      <c r="I882" s="11"/>
      <c r="J882" s="11"/>
      <c r="K882" s="11"/>
      <c r="L882" s="15"/>
      <c r="M882" s="15"/>
      <c r="N882" s="15"/>
      <c r="O882" s="15"/>
      <c r="P882" s="15"/>
      <c r="Q882" s="11"/>
      <c r="R882" s="11"/>
      <c r="S882" s="11"/>
      <c r="T882" s="11"/>
      <c r="U882" s="15"/>
      <c r="V882" s="11"/>
      <c r="W882" s="11"/>
      <c r="X882" s="11"/>
      <c r="Y882" s="11"/>
      <c r="Z882" s="11"/>
    </row>
    <row r="883">
      <c r="A883" s="18"/>
      <c r="B883" s="11"/>
      <c r="C883" s="11"/>
      <c r="D883" s="11"/>
      <c r="E883" s="11"/>
      <c r="F883" s="11"/>
      <c r="G883" s="11"/>
      <c r="H883" s="11"/>
      <c r="I883" s="11"/>
      <c r="J883" s="11"/>
      <c r="K883" s="11"/>
      <c r="L883" s="15"/>
      <c r="M883" s="15"/>
      <c r="N883" s="15"/>
      <c r="O883" s="15"/>
      <c r="P883" s="15"/>
      <c r="Q883" s="11"/>
      <c r="R883" s="11"/>
      <c r="S883" s="11"/>
      <c r="T883" s="11"/>
      <c r="U883" s="15"/>
      <c r="V883" s="11"/>
      <c r="W883" s="11"/>
      <c r="X883" s="11"/>
      <c r="Y883" s="11"/>
      <c r="Z883" s="11"/>
    </row>
    <row r="884">
      <c r="A884" s="18"/>
      <c r="B884" s="11"/>
      <c r="C884" s="11"/>
      <c r="D884" s="11"/>
      <c r="E884" s="11"/>
      <c r="F884" s="11"/>
      <c r="G884" s="11"/>
      <c r="H884" s="11"/>
      <c r="I884" s="11"/>
      <c r="J884" s="11"/>
      <c r="K884" s="11"/>
      <c r="L884" s="15"/>
      <c r="M884" s="15"/>
      <c r="N884" s="15"/>
      <c r="O884" s="15"/>
      <c r="P884" s="15"/>
      <c r="Q884" s="11"/>
      <c r="R884" s="11"/>
      <c r="S884" s="11"/>
      <c r="T884" s="11"/>
      <c r="U884" s="15"/>
      <c r="V884" s="11"/>
      <c r="W884" s="11"/>
      <c r="X884" s="11"/>
      <c r="Y884" s="11"/>
      <c r="Z884" s="11"/>
    </row>
    <row r="885">
      <c r="A885" s="18"/>
      <c r="B885" s="11"/>
      <c r="C885" s="11"/>
      <c r="D885" s="11"/>
      <c r="E885" s="11"/>
      <c r="F885" s="11"/>
      <c r="G885" s="11"/>
      <c r="H885" s="11"/>
      <c r="I885" s="11"/>
      <c r="J885" s="11"/>
      <c r="K885" s="11"/>
      <c r="L885" s="15"/>
      <c r="M885" s="15"/>
      <c r="N885" s="15"/>
      <c r="O885" s="15"/>
      <c r="P885" s="15"/>
      <c r="Q885" s="11"/>
      <c r="R885" s="11"/>
      <c r="S885" s="11"/>
      <c r="T885" s="11"/>
      <c r="U885" s="15"/>
      <c r="V885" s="11"/>
      <c r="W885" s="11"/>
      <c r="X885" s="11"/>
      <c r="Y885" s="11"/>
      <c r="Z885" s="11"/>
    </row>
    <row r="886">
      <c r="A886" s="18"/>
      <c r="B886" s="11"/>
      <c r="C886" s="11"/>
      <c r="D886" s="11"/>
      <c r="E886" s="11"/>
      <c r="F886" s="11"/>
      <c r="G886" s="11"/>
      <c r="H886" s="11"/>
      <c r="I886" s="11"/>
      <c r="J886" s="11"/>
      <c r="K886" s="11"/>
      <c r="L886" s="15"/>
      <c r="M886" s="15"/>
      <c r="N886" s="15"/>
      <c r="O886" s="15"/>
      <c r="P886" s="15"/>
      <c r="Q886" s="11"/>
      <c r="R886" s="11"/>
      <c r="S886" s="11"/>
      <c r="T886" s="11"/>
      <c r="U886" s="15"/>
      <c r="V886" s="11"/>
      <c r="W886" s="11"/>
      <c r="X886" s="11"/>
      <c r="Y886" s="11"/>
      <c r="Z886" s="11"/>
    </row>
    <row r="887">
      <c r="A887" s="18"/>
      <c r="B887" s="11"/>
      <c r="C887" s="11"/>
      <c r="D887" s="11"/>
      <c r="E887" s="11"/>
      <c r="F887" s="11"/>
      <c r="G887" s="11"/>
      <c r="H887" s="11"/>
      <c r="I887" s="11"/>
      <c r="J887" s="11"/>
      <c r="K887" s="11"/>
      <c r="L887" s="15"/>
      <c r="M887" s="15"/>
      <c r="N887" s="15"/>
      <c r="O887" s="15"/>
      <c r="P887" s="15"/>
      <c r="Q887" s="11"/>
      <c r="R887" s="11"/>
      <c r="S887" s="11"/>
      <c r="T887" s="11"/>
      <c r="U887" s="15"/>
      <c r="V887" s="11"/>
      <c r="W887" s="11"/>
      <c r="X887" s="11"/>
      <c r="Y887" s="11"/>
      <c r="Z887" s="11"/>
    </row>
    <row r="888">
      <c r="A888" s="18"/>
      <c r="B888" s="11"/>
      <c r="C888" s="11"/>
      <c r="D888" s="11"/>
      <c r="E888" s="11"/>
      <c r="F888" s="11"/>
      <c r="G888" s="11"/>
      <c r="H888" s="11"/>
      <c r="I888" s="11"/>
      <c r="J888" s="11"/>
      <c r="K888" s="11"/>
      <c r="L888" s="15"/>
      <c r="M888" s="15"/>
      <c r="N888" s="15"/>
      <c r="O888" s="15"/>
      <c r="P888" s="15"/>
      <c r="Q888" s="11"/>
      <c r="R888" s="11"/>
      <c r="S888" s="11"/>
      <c r="T888" s="11"/>
      <c r="U888" s="15"/>
      <c r="V888" s="11"/>
      <c r="W888" s="11"/>
      <c r="X888" s="11"/>
      <c r="Y888" s="11"/>
      <c r="Z888" s="11"/>
    </row>
    <row r="889">
      <c r="A889" s="18"/>
      <c r="B889" s="11"/>
      <c r="C889" s="11"/>
      <c r="D889" s="11"/>
      <c r="E889" s="11"/>
      <c r="F889" s="11"/>
      <c r="G889" s="11"/>
      <c r="H889" s="11"/>
      <c r="I889" s="11"/>
      <c r="J889" s="11"/>
      <c r="K889" s="11"/>
      <c r="L889" s="15"/>
      <c r="M889" s="15"/>
      <c r="N889" s="15"/>
      <c r="O889" s="15"/>
      <c r="P889" s="15"/>
      <c r="Q889" s="11"/>
      <c r="R889" s="11"/>
      <c r="S889" s="11"/>
      <c r="T889" s="11"/>
      <c r="U889" s="15"/>
      <c r="V889" s="11"/>
      <c r="W889" s="11"/>
      <c r="X889" s="11"/>
      <c r="Y889" s="11"/>
      <c r="Z889" s="11"/>
    </row>
    <row r="890">
      <c r="A890" s="18"/>
      <c r="B890" s="11"/>
      <c r="C890" s="11"/>
      <c r="D890" s="11"/>
      <c r="E890" s="11"/>
      <c r="F890" s="11"/>
      <c r="G890" s="11"/>
      <c r="H890" s="11"/>
      <c r="I890" s="11"/>
      <c r="J890" s="11"/>
      <c r="K890" s="11"/>
      <c r="L890" s="15"/>
      <c r="M890" s="15"/>
      <c r="N890" s="15"/>
      <c r="O890" s="15"/>
      <c r="P890" s="15"/>
      <c r="Q890" s="11"/>
      <c r="R890" s="11"/>
      <c r="S890" s="11"/>
      <c r="T890" s="11"/>
      <c r="U890" s="15"/>
      <c r="V890" s="11"/>
      <c r="W890" s="11"/>
      <c r="X890" s="11"/>
      <c r="Y890" s="11"/>
      <c r="Z890" s="11"/>
    </row>
    <row r="891">
      <c r="A891" s="18"/>
      <c r="B891" s="11"/>
      <c r="C891" s="11"/>
      <c r="D891" s="11"/>
      <c r="E891" s="11"/>
      <c r="F891" s="11"/>
      <c r="G891" s="11"/>
      <c r="H891" s="11"/>
      <c r="I891" s="11"/>
      <c r="J891" s="11"/>
      <c r="K891" s="11"/>
      <c r="L891" s="15"/>
      <c r="M891" s="15"/>
      <c r="N891" s="15"/>
      <c r="O891" s="15"/>
      <c r="P891" s="15"/>
      <c r="Q891" s="11"/>
      <c r="R891" s="11"/>
      <c r="S891" s="11"/>
      <c r="T891" s="11"/>
      <c r="U891" s="15"/>
      <c r="V891" s="11"/>
      <c r="W891" s="11"/>
      <c r="X891" s="11"/>
      <c r="Y891" s="11"/>
      <c r="Z891" s="11"/>
    </row>
    <row r="892">
      <c r="A892" s="18"/>
      <c r="B892" s="11"/>
      <c r="C892" s="11"/>
      <c r="D892" s="11"/>
      <c r="E892" s="11"/>
      <c r="F892" s="11"/>
      <c r="G892" s="11"/>
      <c r="H892" s="11"/>
      <c r="I892" s="11"/>
      <c r="J892" s="11"/>
      <c r="K892" s="11"/>
      <c r="L892" s="15"/>
      <c r="M892" s="15"/>
      <c r="N892" s="15"/>
      <c r="O892" s="15"/>
      <c r="P892" s="15"/>
      <c r="Q892" s="11"/>
      <c r="R892" s="11"/>
      <c r="S892" s="11"/>
      <c r="T892" s="11"/>
      <c r="U892" s="15"/>
      <c r="V892" s="11"/>
      <c r="W892" s="11"/>
      <c r="X892" s="11"/>
      <c r="Y892" s="11"/>
      <c r="Z892" s="11"/>
    </row>
    <row r="893">
      <c r="A893" s="18"/>
      <c r="B893" s="11"/>
      <c r="C893" s="11"/>
      <c r="D893" s="11"/>
      <c r="E893" s="11"/>
      <c r="F893" s="11"/>
      <c r="G893" s="11"/>
      <c r="H893" s="11"/>
      <c r="I893" s="11"/>
      <c r="J893" s="11"/>
      <c r="K893" s="11"/>
      <c r="L893" s="15"/>
      <c r="M893" s="15"/>
      <c r="N893" s="15"/>
      <c r="O893" s="15"/>
      <c r="P893" s="15"/>
      <c r="Q893" s="11"/>
      <c r="R893" s="11"/>
      <c r="S893" s="11"/>
      <c r="T893" s="11"/>
      <c r="U893" s="15"/>
      <c r="V893" s="11"/>
      <c r="W893" s="11"/>
      <c r="X893" s="11"/>
      <c r="Y893" s="11"/>
      <c r="Z893" s="11"/>
    </row>
    <row r="894">
      <c r="A894" s="18"/>
      <c r="B894" s="11"/>
      <c r="C894" s="11"/>
      <c r="D894" s="11"/>
      <c r="E894" s="11"/>
      <c r="F894" s="11"/>
      <c r="G894" s="11"/>
      <c r="H894" s="11"/>
      <c r="I894" s="11"/>
      <c r="J894" s="11"/>
      <c r="K894" s="11"/>
      <c r="L894" s="15"/>
      <c r="M894" s="15"/>
      <c r="N894" s="15"/>
      <c r="O894" s="15"/>
      <c r="P894" s="15"/>
      <c r="Q894" s="11"/>
      <c r="R894" s="11"/>
      <c r="S894" s="11"/>
      <c r="T894" s="11"/>
      <c r="U894" s="15"/>
      <c r="V894" s="11"/>
      <c r="W894" s="11"/>
      <c r="X894" s="11"/>
      <c r="Y894" s="11"/>
      <c r="Z894" s="11"/>
    </row>
    <row r="895">
      <c r="A895" s="18"/>
      <c r="B895" s="11"/>
      <c r="C895" s="11"/>
      <c r="D895" s="11"/>
      <c r="E895" s="11"/>
      <c r="F895" s="11"/>
      <c r="G895" s="11"/>
      <c r="H895" s="11"/>
      <c r="I895" s="11"/>
      <c r="J895" s="11"/>
      <c r="K895" s="11"/>
      <c r="L895" s="15"/>
      <c r="M895" s="15"/>
      <c r="N895" s="15"/>
      <c r="O895" s="15"/>
      <c r="P895" s="15"/>
      <c r="Q895" s="11"/>
      <c r="R895" s="11"/>
      <c r="S895" s="11"/>
      <c r="T895" s="11"/>
      <c r="U895" s="15"/>
      <c r="V895" s="11"/>
      <c r="W895" s="11"/>
      <c r="X895" s="11"/>
      <c r="Y895" s="11"/>
      <c r="Z895" s="11"/>
    </row>
    <row r="896">
      <c r="A896" s="18"/>
      <c r="B896" s="11"/>
      <c r="C896" s="11"/>
      <c r="D896" s="11"/>
      <c r="E896" s="11"/>
      <c r="F896" s="11"/>
      <c r="G896" s="11"/>
      <c r="H896" s="11"/>
      <c r="I896" s="11"/>
      <c r="J896" s="11"/>
      <c r="K896" s="11"/>
      <c r="L896" s="15"/>
      <c r="M896" s="15"/>
      <c r="N896" s="15"/>
      <c r="O896" s="15"/>
      <c r="P896" s="15"/>
      <c r="Q896" s="11"/>
      <c r="R896" s="11"/>
      <c r="S896" s="11"/>
      <c r="T896" s="11"/>
      <c r="U896" s="15"/>
      <c r="V896" s="11"/>
      <c r="W896" s="11"/>
      <c r="X896" s="11"/>
      <c r="Y896" s="11"/>
      <c r="Z896" s="11"/>
    </row>
    <row r="897">
      <c r="A897" s="18"/>
      <c r="B897" s="11"/>
      <c r="C897" s="11"/>
      <c r="D897" s="11"/>
      <c r="E897" s="11"/>
      <c r="F897" s="11"/>
      <c r="G897" s="11"/>
      <c r="H897" s="11"/>
      <c r="I897" s="11"/>
      <c r="J897" s="11"/>
      <c r="K897" s="11"/>
      <c r="L897" s="15"/>
      <c r="M897" s="15"/>
      <c r="N897" s="15"/>
      <c r="O897" s="15"/>
      <c r="P897" s="15"/>
      <c r="Q897" s="11"/>
      <c r="R897" s="11"/>
      <c r="S897" s="11"/>
      <c r="T897" s="11"/>
      <c r="U897" s="15"/>
      <c r="V897" s="11"/>
      <c r="W897" s="11"/>
      <c r="X897" s="11"/>
      <c r="Y897" s="11"/>
      <c r="Z897" s="11"/>
    </row>
    <row r="898">
      <c r="A898" s="18"/>
      <c r="B898" s="11"/>
      <c r="C898" s="11"/>
      <c r="D898" s="11"/>
      <c r="E898" s="11"/>
      <c r="F898" s="11"/>
      <c r="G898" s="11"/>
      <c r="H898" s="11"/>
      <c r="I898" s="11"/>
      <c r="J898" s="11"/>
      <c r="K898" s="11"/>
      <c r="L898" s="15"/>
      <c r="M898" s="15"/>
      <c r="N898" s="15"/>
      <c r="O898" s="15"/>
      <c r="P898" s="15"/>
      <c r="Q898" s="11"/>
      <c r="R898" s="11"/>
      <c r="S898" s="11"/>
      <c r="T898" s="11"/>
      <c r="U898" s="15"/>
      <c r="V898" s="11"/>
      <c r="W898" s="11"/>
      <c r="X898" s="11"/>
      <c r="Y898" s="11"/>
      <c r="Z898" s="11"/>
    </row>
    <row r="899">
      <c r="A899" s="18"/>
      <c r="B899" s="11"/>
      <c r="C899" s="11"/>
      <c r="D899" s="11"/>
      <c r="E899" s="11"/>
      <c r="F899" s="11"/>
      <c r="G899" s="11"/>
      <c r="H899" s="11"/>
      <c r="I899" s="11"/>
      <c r="J899" s="11"/>
      <c r="K899" s="11"/>
      <c r="L899" s="15"/>
      <c r="M899" s="15"/>
      <c r="N899" s="15"/>
      <c r="O899" s="15"/>
      <c r="P899" s="15"/>
      <c r="Q899" s="11"/>
      <c r="R899" s="11"/>
      <c r="S899" s="11"/>
      <c r="T899" s="11"/>
      <c r="U899" s="15"/>
      <c r="V899" s="11"/>
      <c r="W899" s="11"/>
      <c r="X899" s="11"/>
      <c r="Y899" s="11"/>
      <c r="Z899" s="11"/>
    </row>
    <row r="900">
      <c r="A900" s="18"/>
      <c r="B900" s="11"/>
      <c r="C900" s="11"/>
      <c r="D900" s="11"/>
      <c r="E900" s="11"/>
      <c r="F900" s="11"/>
      <c r="G900" s="11"/>
      <c r="H900" s="11"/>
      <c r="I900" s="11"/>
      <c r="J900" s="11"/>
      <c r="K900" s="11"/>
      <c r="L900" s="15"/>
      <c r="M900" s="15"/>
      <c r="N900" s="15"/>
      <c r="O900" s="15"/>
      <c r="P900" s="15"/>
      <c r="Q900" s="11"/>
      <c r="R900" s="11"/>
      <c r="S900" s="11"/>
      <c r="T900" s="11"/>
      <c r="U900" s="15"/>
      <c r="V900" s="11"/>
      <c r="W900" s="11"/>
      <c r="X900" s="11"/>
      <c r="Y900" s="11"/>
      <c r="Z900" s="11"/>
    </row>
    <row r="901">
      <c r="A901" s="18"/>
      <c r="B901" s="11"/>
      <c r="C901" s="11"/>
      <c r="D901" s="11"/>
      <c r="E901" s="11"/>
      <c r="F901" s="11"/>
      <c r="G901" s="11"/>
      <c r="H901" s="11"/>
      <c r="I901" s="11"/>
      <c r="J901" s="11"/>
      <c r="K901" s="11"/>
      <c r="L901" s="15"/>
      <c r="M901" s="15"/>
      <c r="N901" s="15"/>
      <c r="O901" s="15"/>
      <c r="P901" s="15"/>
      <c r="Q901" s="11"/>
      <c r="R901" s="11"/>
      <c r="S901" s="11"/>
      <c r="T901" s="11"/>
      <c r="U901" s="15"/>
      <c r="V901" s="11"/>
      <c r="W901" s="11"/>
      <c r="X901" s="11"/>
      <c r="Y901" s="11"/>
      <c r="Z901" s="11"/>
    </row>
    <row r="902">
      <c r="A902" s="18"/>
      <c r="B902" s="11"/>
      <c r="C902" s="11"/>
      <c r="D902" s="11"/>
      <c r="E902" s="11"/>
      <c r="F902" s="11"/>
      <c r="G902" s="11"/>
      <c r="H902" s="11"/>
      <c r="I902" s="11"/>
      <c r="J902" s="11"/>
      <c r="K902" s="11"/>
      <c r="L902" s="15"/>
      <c r="M902" s="15"/>
      <c r="N902" s="15"/>
      <c r="O902" s="15"/>
      <c r="P902" s="15"/>
      <c r="Q902" s="11"/>
      <c r="R902" s="11"/>
      <c r="S902" s="11"/>
      <c r="T902" s="11"/>
      <c r="U902" s="15"/>
      <c r="V902" s="11"/>
      <c r="W902" s="11"/>
      <c r="X902" s="11"/>
      <c r="Y902" s="11"/>
      <c r="Z902" s="11"/>
    </row>
    <row r="903">
      <c r="A903" s="18"/>
      <c r="B903" s="11"/>
      <c r="C903" s="11"/>
      <c r="D903" s="11"/>
      <c r="E903" s="11"/>
      <c r="F903" s="11"/>
      <c r="G903" s="11"/>
      <c r="H903" s="11"/>
      <c r="I903" s="11"/>
      <c r="J903" s="11"/>
      <c r="K903" s="11"/>
      <c r="L903" s="15"/>
      <c r="M903" s="15"/>
      <c r="N903" s="15"/>
      <c r="O903" s="15"/>
      <c r="P903" s="15"/>
      <c r="Q903" s="11"/>
      <c r="R903" s="11"/>
      <c r="S903" s="11"/>
      <c r="T903" s="11"/>
      <c r="U903" s="15"/>
      <c r="V903" s="11"/>
      <c r="W903" s="11"/>
      <c r="X903" s="11"/>
      <c r="Y903" s="11"/>
      <c r="Z903" s="11"/>
    </row>
    <row r="904">
      <c r="A904" s="18"/>
      <c r="B904" s="11"/>
      <c r="C904" s="11"/>
      <c r="D904" s="11"/>
      <c r="E904" s="11"/>
      <c r="F904" s="11"/>
      <c r="G904" s="11"/>
      <c r="H904" s="11"/>
      <c r="I904" s="11"/>
      <c r="J904" s="11"/>
      <c r="K904" s="11"/>
      <c r="L904" s="15"/>
      <c r="M904" s="15"/>
      <c r="N904" s="15"/>
      <c r="O904" s="15"/>
      <c r="P904" s="15"/>
      <c r="Q904" s="11"/>
      <c r="R904" s="11"/>
      <c r="S904" s="11"/>
      <c r="T904" s="11"/>
      <c r="U904" s="15"/>
      <c r="V904" s="11"/>
      <c r="W904" s="11"/>
      <c r="X904" s="11"/>
      <c r="Y904" s="11"/>
      <c r="Z904" s="11"/>
    </row>
    <row r="905">
      <c r="A905" s="18"/>
      <c r="B905" s="11"/>
      <c r="C905" s="11"/>
      <c r="D905" s="11"/>
      <c r="E905" s="11"/>
      <c r="F905" s="11"/>
      <c r="G905" s="11"/>
      <c r="H905" s="11"/>
      <c r="I905" s="11"/>
      <c r="J905" s="11"/>
      <c r="K905" s="11"/>
      <c r="L905" s="15"/>
      <c r="M905" s="15"/>
      <c r="N905" s="15"/>
      <c r="O905" s="15"/>
      <c r="P905" s="15"/>
      <c r="Q905" s="11"/>
      <c r="R905" s="11"/>
      <c r="S905" s="11"/>
      <c r="T905" s="11"/>
      <c r="U905" s="15"/>
      <c r="V905" s="11"/>
      <c r="W905" s="11"/>
      <c r="X905" s="11"/>
      <c r="Y905" s="11"/>
      <c r="Z905" s="11"/>
    </row>
    <row r="906">
      <c r="A906" s="18"/>
      <c r="B906" s="11"/>
      <c r="C906" s="11"/>
      <c r="D906" s="11"/>
      <c r="E906" s="11"/>
      <c r="F906" s="11"/>
      <c r="G906" s="11"/>
      <c r="H906" s="11"/>
      <c r="I906" s="11"/>
      <c r="J906" s="11"/>
      <c r="K906" s="11"/>
      <c r="L906" s="15"/>
      <c r="M906" s="15"/>
      <c r="N906" s="15"/>
      <c r="O906" s="15"/>
      <c r="P906" s="15"/>
      <c r="Q906" s="11"/>
      <c r="R906" s="11"/>
      <c r="S906" s="11"/>
      <c r="T906" s="11"/>
      <c r="U906" s="15"/>
      <c r="V906" s="11"/>
      <c r="W906" s="11"/>
      <c r="X906" s="11"/>
      <c r="Y906" s="11"/>
      <c r="Z906" s="11"/>
    </row>
    <row r="907">
      <c r="A907" s="18"/>
      <c r="B907" s="11"/>
      <c r="C907" s="11"/>
      <c r="D907" s="11"/>
      <c r="E907" s="11"/>
      <c r="F907" s="11"/>
      <c r="G907" s="11"/>
      <c r="H907" s="11"/>
      <c r="I907" s="11"/>
      <c r="J907" s="11"/>
      <c r="K907" s="11"/>
      <c r="L907" s="15"/>
      <c r="M907" s="15"/>
      <c r="N907" s="15"/>
      <c r="O907" s="15"/>
      <c r="P907" s="15"/>
      <c r="Q907" s="11"/>
      <c r="R907" s="11"/>
      <c r="S907" s="11"/>
      <c r="T907" s="11"/>
      <c r="U907" s="15"/>
      <c r="V907" s="11"/>
      <c r="W907" s="11"/>
      <c r="X907" s="11"/>
      <c r="Y907" s="11"/>
      <c r="Z907" s="11"/>
    </row>
    <row r="908">
      <c r="A908" s="18"/>
      <c r="B908" s="11"/>
      <c r="C908" s="11"/>
      <c r="D908" s="11"/>
      <c r="E908" s="11"/>
      <c r="F908" s="11"/>
      <c r="G908" s="11"/>
      <c r="H908" s="11"/>
      <c r="I908" s="11"/>
      <c r="J908" s="11"/>
      <c r="K908" s="11"/>
      <c r="L908" s="15"/>
      <c r="M908" s="15"/>
      <c r="N908" s="15"/>
      <c r="O908" s="15"/>
      <c r="P908" s="15"/>
      <c r="Q908" s="11"/>
      <c r="R908" s="11"/>
      <c r="S908" s="11"/>
      <c r="T908" s="11"/>
      <c r="U908" s="15"/>
      <c r="V908" s="11"/>
      <c r="W908" s="11"/>
      <c r="X908" s="11"/>
      <c r="Y908" s="11"/>
      <c r="Z908" s="11"/>
    </row>
    <row r="909">
      <c r="A909" s="18"/>
      <c r="B909" s="11"/>
      <c r="C909" s="11"/>
      <c r="D909" s="11"/>
      <c r="E909" s="11"/>
      <c r="F909" s="11"/>
      <c r="G909" s="11"/>
      <c r="H909" s="11"/>
      <c r="I909" s="11"/>
      <c r="J909" s="11"/>
      <c r="K909" s="11"/>
      <c r="L909" s="15"/>
      <c r="M909" s="15"/>
      <c r="N909" s="15"/>
      <c r="O909" s="15"/>
      <c r="P909" s="15"/>
      <c r="Q909" s="11"/>
      <c r="R909" s="11"/>
      <c r="S909" s="11"/>
      <c r="T909" s="11"/>
      <c r="U909" s="15"/>
      <c r="V909" s="11"/>
      <c r="W909" s="11"/>
      <c r="X909" s="11"/>
      <c r="Y909" s="11"/>
      <c r="Z909" s="11"/>
    </row>
    <row r="910">
      <c r="A910" s="18"/>
      <c r="B910" s="11"/>
      <c r="C910" s="11"/>
      <c r="D910" s="11"/>
      <c r="E910" s="11"/>
      <c r="F910" s="11"/>
      <c r="G910" s="11"/>
      <c r="H910" s="11"/>
      <c r="I910" s="11"/>
      <c r="J910" s="11"/>
      <c r="K910" s="11"/>
      <c r="L910" s="15"/>
      <c r="M910" s="15"/>
      <c r="N910" s="15"/>
      <c r="O910" s="15"/>
      <c r="P910" s="15"/>
      <c r="Q910" s="11"/>
      <c r="R910" s="11"/>
      <c r="S910" s="11"/>
      <c r="T910" s="11"/>
      <c r="U910" s="15"/>
      <c r="V910" s="11"/>
      <c r="W910" s="11"/>
      <c r="X910" s="11"/>
      <c r="Y910" s="11"/>
      <c r="Z910" s="11"/>
    </row>
    <row r="911">
      <c r="A911" s="18"/>
      <c r="B911" s="11"/>
      <c r="C911" s="11"/>
      <c r="D911" s="11"/>
      <c r="E911" s="11"/>
      <c r="F911" s="11"/>
      <c r="G911" s="11"/>
      <c r="H911" s="11"/>
      <c r="I911" s="11"/>
      <c r="J911" s="11"/>
      <c r="K911" s="11"/>
      <c r="L911" s="15"/>
      <c r="M911" s="15"/>
      <c r="N911" s="15"/>
      <c r="O911" s="15"/>
      <c r="P911" s="15"/>
      <c r="Q911" s="11"/>
      <c r="R911" s="11"/>
      <c r="S911" s="11"/>
      <c r="T911" s="11"/>
      <c r="U911" s="15"/>
      <c r="V911" s="11"/>
      <c r="W911" s="11"/>
      <c r="X911" s="11"/>
      <c r="Y911" s="11"/>
      <c r="Z911" s="11"/>
    </row>
    <row r="912">
      <c r="A912" s="18"/>
      <c r="B912" s="11"/>
      <c r="C912" s="11"/>
      <c r="D912" s="11"/>
      <c r="E912" s="11"/>
      <c r="F912" s="11"/>
      <c r="G912" s="11"/>
      <c r="H912" s="11"/>
      <c r="I912" s="11"/>
      <c r="J912" s="11"/>
      <c r="K912" s="11"/>
      <c r="L912" s="15"/>
      <c r="M912" s="15"/>
      <c r="N912" s="15"/>
      <c r="O912" s="15"/>
      <c r="P912" s="15"/>
      <c r="Q912" s="11"/>
      <c r="R912" s="11"/>
      <c r="S912" s="11"/>
      <c r="T912" s="11"/>
      <c r="U912" s="15"/>
      <c r="V912" s="11"/>
      <c r="W912" s="11"/>
      <c r="X912" s="11"/>
      <c r="Y912" s="11"/>
      <c r="Z912" s="11"/>
    </row>
    <row r="913">
      <c r="A913" s="18"/>
      <c r="B913" s="11"/>
      <c r="C913" s="11"/>
      <c r="D913" s="11"/>
      <c r="E913" s="11"/>
      <c r="F913" s="11"/>
      <c r="G913" s="11"/>
      <c r="H913" s="11"/>
      <c r="I913" s="11"/>
      <c r="J913" s="11"/>
      <c r="K913" s="11"/>
      <c r="L913" s="15"/>
      <c r="M913" s="15"/>
      <c r="N913" s="15"/>
      <c r="O913" s="15"/>
      <c r="P913" s="15"/>
      <c r="Q913" s="11"/>
      <c r="R913" s="11"/>
      <c r="S913" s="11"/>
      <c r="T913" s="11"/>
      <c r="U913" s="15"/>
      <c r="V913" s="11"/>
      <c r="W913" s="11"/>
      <c r="X913" s="11"/>
      <c r="Y913" s="11"/>
      <c r="Z913" s="11"/>
    </row>
    <row r="914">
      <c r="A914" s="18"/>
      <c r="B914" s="11"/>
      <c r="C914" s="11"/>
      <c r="D914" s="11"/>
      <c r="E914" s="11"/>
      <c r="F914" s="11"/>
      <c r="G914" s="11"/>
      <c r="H914" s="11"/>
      <c r="I914" s="11"/>
      <c r="J914" s="11"/>
      <c r="K914" s="11"/>
      <c r="L914" s="15"/>
      <c r="M914" s="15"/>
      <c r="N914" s="15"/>
      <c r="O914" s="15"/>
      <c r="P914" s="15"/>
      <c r="Q914" s="11"/>
      <c r="R914" s="11"/>
      <c r="S914" s="11"/>
      <c r="T914" s="11"/>
      <c r="U914" s="15"/>
      <c r="V914" s="11"/>
      <c r="W914" s="11"/>
      <c r="X914" s="11"/>
      <c r="Y914" s="11"/>
      <c r="Z914" s="11"/>
    </row>
    <row r="915">
      <c r="A915" s="18"/>
      <c r="B915" s="11"/>
      <c r="C915" s="11"/>
      <c r="D915" s="11"/>
      <c r="E915" s="11"/>
      <c r="F915" s="11"/>
      <c r="G915" s="11"/>
      <c r="H915" s="11"/>
      <c r="I915" s="11"/>
      <c r="J915" s="11"/>
      <c r="K915" s="11"/>
      <c r="L915" s="15"/>
      <c r="M915" s="15"/>
      <c r="N915" s="15"/>
      <c r="O915" s="15"/>
      <c r="P915" s="15"/>
      <c r="Q915" s="11"/>
      <c r="R915" s="11"/>
      <c r="S915" s="11"/>
      <c r="T915" s="11"/>
      <c r="U915" s="15"/>
      <c r="V915" s="11"/>
      <c r="W915" s="11"/>
      <c r="X915" s="11"/>
      <c r="Y915" s="11"/>
      <c r="Z915" s="11"/>
    </row>
    <row r="916">
      <c r="A916" s="18"/>
      <c r="B916" s="11"/>
      <c r="C916" s="11"/>
      <c r="D916" s="11"/>
      <c r="E916" s="11"/>
      <c r="F916" s="11"/>
      <c r="G916" s="11"/>
      <c r="H916" s="11"/>
      <c r="I916" s="11"/>
      <c r="J916" s="11"/>
      <c r="K916" s="11"/>
      <c r="L916" s="15"/>
      <c r="M916" s="15"/>
      <c r="N916" s="15"/>
      <c r="O916" s="15"/>
      <c r="P916" s="15"/>
      <c r="Q916" s="11"/>
      <c r="R916" s="11"/>
      <c r="S916" s="11"/>
      <c r="T916" s="11"/>
      <c r="U916" s="15"/>
      <c r="V916" s="11"/>
      <c r="W916" s="11"/>
      <c r="X916" s="11"/>
      <c r="Y916" s="11"/>
      <c r="Z916" s="11"/>
    </row>
    <row r="917">
      <c r="A917" s="18"/>
      <c r="B917" s="11"/>
      <c r="C917" s="11"/>
      <c r="D917" s="11"/>
      <c r="E917" s="11"/>
      <c r="F917" s="11"/>
      <c r="G917" s="11"/>
      <c r="H917" s="11"/>
      <c r="I917" s="11"/>
      <c r="J917" s="11"/>
      <c r="K917" s="11"/>
      <c r="L917" s="15"/>
      <c r="M917" s="15"/>
      <c r="N917" s="15"/>
      <c r="O917" s="15"/>
      <c r="P917" s="15"/>
      <c r="Q917" s="11"/>
      <c r="R917" s="11"/>
      <c r="S917" s="11"/>
      <c r="T917" s="11"/>
      <c r="U917" s="15"/>
      <c r="V917" s="11"/>
      <c r="W917" s="11"/>
      <c r="X917" s="11"/>
      <c r="Y917" s="11"/>
      <c r="Z917" s="11"/>
    </row>
    <row r="918">
      <c r="A918" s="18"/>
      <c r="B918" s="11"/>
      <c r="C918" s="11"/>
      <c r="D918" s="11"/>
      <c r="E918" s="11"/>
      <c r="F918" s="11"/>
      <c r="G918" s="11"/>
      <c r="H918" s="11"/>
      <c r="I918" s="11"/>
      <c r="J918" s="11"/>
      <c r="K918" s="11"/>
      <c r="L918" s="15"/>
      <c r="M918" s="15"/>
      <c r="N918" s="15"/>
      <c r="O918" s="15"/>
      <c r="P918" s="15"/>
      <c r="Q918" s="11"/>
      <c r="R918" s="11"/>
      <c r="S918" s="11"/>
      <c r="T918" s="11"/>
      <c r="U918" s="15"/>
      <c r="V918" s="11"/>
      <c r="W918" s="11"/>
      <c r="X918" s="11"/>
      <c r="Y918" s="11"/>
      <c r="Z918" s="11"/>
    </row>
    <row r="919">
      <c r="A919" s="18"/>
      <c r="B919" s="11"/>
      <c r="C919" s="11"/>
      <c r="D919" s="11"/>
      <c r="E919" s="11"/>
      <c r="F919" s="11"/>
      <c r="G919" s="11"/>
      <c r="H919" s="11"/>
      <c r="I919" s="11"/>
      <c r="J919" s="11"/>
      <c r="K919" s="11"/>
      <c r="L919" s="15"/>
      <c r="M919" s="15"/>
      <c r="N919" s="15"/>
      <c r="O919" s="15"/>
      <c r="P919" s="15"/>
      <c r="Q919" s="11"/>
      <c r="R919" s="11"/>
      <c r="S919" s="11"/>
      <c r="T919" s="11"/>
      <c r="U919" s="15"/>
      <c r="V919" s="11"/>
      <c r="W919" s="11"/>
      <c r="X919" s="11"/>
      <c r="Y919" s="11"/>
      <c r="Z919" s="11"/>
    </row>
    <row r="920">
      <c r="A920" s="18"/>
      <c r="B920" s="11"/>
      <c r="C920" s="11"/>
      <c r="D920" s="11"/>
      <c r="E920" s="11"/>
      <c r="F920" s="11"/>
      <c r="G920" s="11"/>
      <c r="H920" s="11"/>
      <c r="I920" s="11"/>
      <c r="J920" s="11"/>
      <c r="K920" s="11"/>
      <c r="L920" s="15"/>
      <c r="M920" s="15"/>
      <c r="N920" s="15"/>
      <c r="O920" s="15"/>
      <c r="P920" s="15"/>
      <c r="Q920" s="11"/>
      <c r="R920" s="11"/>
      <c r="S920" s="11"/>
      <c r="T920" s="11"/>
      <c r="U920" s="15"/>
      <c r="V920" s="11"/>
      <c r="W920" s="11"/>
      <c r="X920" s="11"/>
      <c r="Y920" s="11"/>
      <c r="Z920" s="11"/>
    </row>
    <row r="921">
      <c r="A921" s="18"/>
      <c r="B921" s="11"/>
      <c r="C921" s="11"/>
      <c r="D921" s="11"/>
      <c r="E921" s="11"/>
      <c r="F921" s="11"/>
      <c r="G921" s="11"/>
      <c r="H921" s="11"/>
      <c r="I921" s="11"/>
      <c r="J921" s="11"/>
      <c r="K921" s="11"/>
      <c r="L921" s="15"/>
      <c r="M921" s="15"/>
      <c r="N921" s="15"/>
      <c r="O921" s="15"/>
      <c r="P921" s="15"/>
      <c r="Q921" s="11"/>
      <c r="R921" s="11"/>
      <c r="S921" s="11"/>
      <c r="T921" s="11"/>
      <c r="U921" s="15"/>
      <c r="V921" s="11"/>
      <c r="W921" s="11"/>
      <c r="X921" s="11"/>
      <c r="Y921" s="11"/>
      <c r="Z921" s="11"/>
    </row>
    <row r="922">
      <c r="A922" s="18"/>
      <c r="B922" s="11"/>
      <c r="C922" s="11"/>
      <c r="D922" s="11"/>
      <c r="E922" s="11"/>
      <c r="F922" s="11"/>
      <c r="G922" s="11"/>
      <c r="H922" s="11"/>
      <c r="I922" s="11"/>
      <c r="J922" s="11"/>
      <c r="K922" s="11"/>
      <c r="L922" s="15"/>
      <c r="M922" s="15"/>
      <c r="N922" s="15"/>
      <c r="O922" s="15"/>
      <c r="P922" s="15"/>
      <c r="Q922" s="11"/>
      <c r="R922" s="11"/>
      <c r="S922" s="11"/>
      <c r="T922" s="11"/>
      <c r="U922" s="15"/>
      <c r="V922" s="11"/>
      <c r="W922" s="11"/>
      <c r="X922" s="11"/>
      <c r="Y922" s="11"/>
      <c r="Z922" s="11"/>
    </row>
    <row r="923">
      <c r="A923" s="18"/>
      <c r="B923" s="11"/>
      <c r="C923" s="11"/>
      <c r="D923" s="11"/>
      <c r="E923" s="11"/>
      <c r="F923" s="11"/>
      <c r="G923" s="11"/>
      <c r="H923" s="11"/>
      <c r="I923" s="11"/>
      <c r="J923" s="11"/>
      <c r="K923" s="11"/>
      <c r="L923" s="15"/>
      <c r="M923" s="15"/>
      <c r="N923" s="15"/>
      <c r="O923" s="15"/>
      <c r="P923" s="15"/>
      <c r="Q923" s="11"/>
      <c r="R923" s="11"/>
      <c r="S923" s="11"/>
      <c r="T923" s="11"/>
      <c r="U923" s="15"/>
      <c r="V923" s="11"/>
      <c r="W923" s="11"/>
      <c r="X923" s="11"/>
      <c r="Y923" s="11"/>
      <c r="Z923" s="11"/>
    </row>
    <row r="924">
      <c r="A924" s="18"/>
      <c r="B924" s="11"/>
      <c r="C924" s="11"/>
      <c r="D924" s="11"/>
      <c r="E924" s="11"/>
      <c r="F924" s="11"/>
      <c r="G924" s="11"/>
      <c r="H924" s="11"/>
      <c r="I924" s="11"/>
      <c r="J924" s="11"/>
      <c r="K924" s="11"/>
      <c r="L924" s="15"/>
      <c r="M924" s="15"/>
      <c r="N924" s="15"/>
      <c r="O924" s="15"/>
      <c r="P924" s="15"/>
      <c r="Q924" s="11"/>
      <c r="R924" s="11"/>
      <c r="S924" s="11"/>
      <c r="T924" s="11"/>
      <c r="U924" s="15"/>
      <c r="V924" s="11"/>
      <c r="W924" s="11"/>
      <c r="X924" s="11"/>
      <c r="Y924" s="11"/>
      <c r="Z924" s="11"/>
    </row>
    <row r="925">
      <c r="A925" s="18"/>
      <c r="B925" s="11"/>
      <c r="C925" s="11"/>
      <c r="D925" s="11"/>
      <c r="E925" s="11"/>
      <c r="F925" s="11"/>
      <c r="G925" s="11"/>
      <c r="H925" s="11"/>
      <c r="I925" s="11"/>
      <c r="J925" s="11"/>
      <c r="K925" s="11"/>
      <c r="L925" s="15"/>
      <c r="M925" s="15"/>
      <c r="N925" s="15"/>
      <c r="O925" s="15"/>
      <c r="P925" s="15"/>
      <c r="Q925" s="11"/>
      <c r="R925" s="11"/>
      <c r="S925" s="11"/>
      <c r="T925" s="11"/>
      <c r="U925" s="15"/>
      <c r="V925" s="11"/>
      <c r="W925" s="11"/>
      <c r="X925" s="11"/>
      <c r="Y925" s="11"/>
      <c r="Z925" s="11"/>
    </row>
    <row r="926">
      <c r="A926" s="18"/>
      <c r="B926" s="11"/>
      <c r="C926" s="11"/>
      <c r="D926" s="11"/>
      <c r="E926" s="11"/>
      <c r="F926" s="11"/>
      <c r="G926" s="11"/>
      <c r="H926" s="11"/>
      <c r="I926" s="11"/>
      <c r="J926" s="11"/>
      <c r="K926" s="11"/>
      <c r="L926" s="15"/>
      <c r="M926" s="15"/>
      <c r="N926" s="15"/>
      <c r="O926" s="15"/>
      <c r="P926" s="15"/>
      <c r="Q926" s="11"/>
      <c r="R926" s="11"/>
      <c r="S926" s="11"/>
      <c r="T926" s="11"/>
      <c r="U926" s="15"/>
      <c r="V926" s="11"/>
      <c r="W926" s="11"/>
      <c r="X926" s="11"/>
      <c r="Y926" s="11"/>
      <c r="Z926" s="11"/>
    </row>
    <row r="927">
      <c r="A927" s="18"/>
      <c r="B927" s="11"/>
      <c r="C927" s="11"/>
      <c r="D927" s="11"/>
      <c r="E927" s="11"/>
      <c r="F927" s="11"/>
      <c r="G927" s="11"/>
      <c r="H927" s="11"/>
      <c r="I927" s="11"/>
      <c r="J927" s="11"/>
      <c r="K927" s="11"/>
      <c r="L927" s="15"/>
      <c r="M927" s="15"/>
      <c r="N927" s="15"/>
      <c r="O927" s="15"/>
      <c r="P927" s="15"/>
      <c r="Q927" s="11"/>
      <c r="R927" s="11"/>
      <c r="S927" s="11"/>
      <c r="T927" s="11"/>
      <c r="U927" s="15"/>
      <c r="V927" s="11"/>
      <c r="W927" s="11"/>
      <c r="X927" s="11"/>
      <c r="Y927" s="11"/>
      <c r="Z927" s="11"/>
    </row>
    <row r="928">
      <c r="A928" s="18"/>
      <c r="B928" s="11"/>
      <c r="C928" s="11"/>
      <c r="D928" s="11"/>
      <c r="E928" s="11"/>
      <c r="F928" s="11"/>
      <c r="G928" s="11"/>
      <c r="H928" s="11"/>
      <c r="I928" s="11"/>
      <c r="J928" s="11"/>
      <c r="K928" s="11"/>
      <c r="L928" s="15"/>
      <c r="M928" s="15"/>
      <c r="N928" s="15"/>
      <c r="O928" s="15"/>
      <c r="P928" s="15"/>
      <c r="Q928" s="11"/>
      <c r="R928" s="11"/>
      <c r="S928" s="11"/>
      <c r="T928" s="11"/>
      <c r="U928" s="15"/>
      <c r="V928" s="11"/>
      <c r="W928" s="11"/>
      <c r="X928" s="11"/>
      <c r="Y928" s="11"/>
      <c r="Z928" s="11"/>
    </row>
    <row r="929">
      <c r="A929" s="18"/>
      <c r="B929" s="11"/>
      <c r="C929" s="11"/>
      <c r="D929" s="11"/>
      <c r="E929" s="11"/>
      <c r="F929" s="11"/>
      <c r="G929" s="11"/>
      <c r="H929" s="11"/>
      <c r="I929" s="11"/>
      <c r="J929" s="11"/>
      <c r="K929" s="11"/>
      <c r="L929" s="15"/>
      <c r="M929" s="15"/>
      <c r="N929" s="15"/>
      <c r="O929" s="15"/>
      <c r="P929" s="15"/>
      <c r="Q929" s="11"/>
      <c r="R929" s="11"/>
      <c r="S929" s="11"/>
      <c r="T929" s="11"/>
      <c r="U929" s="15"/>
      <c r="V929" s="11"/>
      <c r="W929" s="11"/>
      <c r="X929" s="11"/>
      <c r="Y929" s="11"/>
      <c r="Z929" s="11"/>
    </row>
    <row r="930">
      <c r="A930" s="18"/>
      <c r="B930" s="11"/>
      <c r="C930" s="11"/>
      <c r="D930" s="11"/>
      <c r="E930" s="11"/>
      <c r="F930" s="11"/>
      <c r="G930" s="11"/>
      <c r="H930" s="11"/>
      <c r="I930" s="11"/>
      <c r="J930" s="11"/>
      <c r="K930" s="11"/>
      <c r="L930" s="15"/>
      <c r="M930" s="15"/>
      <c r="N930" s="15"/>
      <c r="O930" s="15"/>
      <c r="P930" s="15"/>
      <c r="Q930" s="11"/>
      <c r="R930" s="11"/>
      <c r="S930" s="11"/>
      <c r="T930" s="11"/>
      <c r="U930" s="15"/>
      <c r="V930" s="11"/>
      <c r="W930" s="11"/>
      <c r="X930" s="11"/>
      <c r="Y930" s="11"/>
      <c r="Z930" s="11"/>
    </row>
    <row r="931">
      <c r="A931" s="18"/>
      <c r="B931" s="11"/>
      <c r="C931" s="11"/>
      <c r="D931" s="11"/>
      <c r="E931" s="11"/>
      <c r="F931" s="11"/>
      <c r="G931" s="11"/>
      <c r="H931" s="11"/>
      <c r="I931" s="11"/>
      <c r="J931" s="11"/>
      <c r="K931" s="11"/>
      <c r="L931" s="15"/>
      <c r="M931" s="15"/>
      <c r="N931" s="15"/>
      <c r="O931" s="15"/>
      <c r="P931" s="15"/>
      <c r="Q931" s="11"/>
      <c r="R931" s="11"/>
      <c r="S931" s="11"/>
      <c r="T931" s="11"/>
      <c r="U931" s="15"/>
      <c r="V931" s="11"/>
      <c r="W931" s="11"/>
      <c r="X931" s="11"/>
      <c r="Y931" s="11"/>
      <c r="Z931" s="11"/>
    </row>
    <row r="932">
      <c r="A932" s="18"/>
      <c r="B932" s="11"/>
      <c r="C932" s="11"/>
      <c r="D932" s="11"/>
      <c r="E932" s="11"/>
      <c r="F932" s="11"/>
      <c r="G932" s="11"/>
      <c r="H932" s="11"/>
      <c r="I932" s="11"/>
      <c r="J932" s="11"/>
      <c r="K932" s="11"/>
      <c r="L932" s="15"/>
      <c r="M932" s="15"/>
      <c r="N932" s="15"/>
      <c r="O932" s="15"/>
      <c r="P932" s="15"/>
      <c r="Q932" s="11"/>
      <c r="R932" s="11"/>
      <c r="S932" s="11"/>
      <c r="T932" s="11"/>
      <c r="U932" s="15"/>
      <c r="V932" s="11"/>
      <c r="W932" s="11"/>
      <c r="X932" s="11"/>
      <c r="Y932" s="11"/>
      <c r="Z932" s="11"/>
    </row>
    <row r="933">
      <c r="A933" s="18"/>
      <c r="B933" s="11"/>
      <c r="C933" s="11"/>
      <c r="D933" s="11"/>
      <c r="E933" s="11"/>
      <c r="F933" s="11"/>
      <c r="G933" s="11"/>
      <c r="H933" s="11"/>
      <c r="I933" s="11"/>
      <c r="J933" s="11"/>
      <c r="K933" s="11"/>
      <c r="L933" s="15"/>
      <c r="M933" s="15"/>
      <c r="N933" s="15"/>
      <c r="O933" s="15"/>
      <c r="P933" s="15"/>
      <c r="Q933" s="11"/>
      <c r="R933" s="11"/>
      <c r="S933" s="11"/>
      <c r="T933" s="11"/>
      <c r="U933" s="15"/>
      <c r="V933" s="11"/>
      <c r="W933" s="11"/>
      <c r="X933" s="11"/>
      <c r="Y933" s="11"/>
      <c r="Z933" s="11"/>
    </row>
    <row r="934">
      <c r="A934" s="18"/>
      <c r="B934" s="11"/>
      <c r="C934" s="11"/>
      <c r="D934" s="11"/>
      <c r="E934" s="11"/>
      <c r="F934" s="11"/>
      <c r="G934" s="11"/>
      <c r="H934" s="11"/>
      <c r="I934" s="11"/>
      <c r="J934" s="11"/>
      <c r="K934" s="11"/>
      <c r="L934" s="15"/>
      <c r="M934" s="15"/>
      <c r="N934" s="15"/>
      <c r="O934" s="15"/>
      <c r="P934" s="15"/>
      <c r="Q934" s="11"/>
      <c r="R934" s="11"/>
      <c r="S934" s="11"/>
      <c r="T934" s="11"/>
      <c r="U934" s="15"/>
      <c r="V934" s="11"/>
      <c r="W934" s="11"/>
      <c r="X934" s="11"/>
      <c r="Y934" s="11"/>
      <c r="Z934" s="11"/>
    </row>
    <row r="935">
      <c r="A935" s="18"/>
      <c r="B935" s="11"/>
      <c r="C935" s="11"/>
      <c r="D935" s="11"/>
      <c r="E935" s="11"/>
      <c r="F935" s="11"/>
      <c r="G935" s="11"/>
      <c r="H935" s="11"/>
      <c r="I935" s="11"/>
      <c r="J935" s="11"/>
      <c r="K935" s="11"/>
      <c r="L935" s="15"/>
      <c r="M935" s="15"/>
      <c r="N935" s="15"/>
      <c r="O935" s="15"/>
      <c r="P935" s="15"/>
      <c r="Q935" s="11"/>
      <c r="R935" s="11"/>
      <c r="S935" s="11"/>
      <c r="T935" s="11"/>
      <c r="U935" s="15"/>
      <c r="V935" s="11"/>
      <c r="W935" s="11"/>
      <c r="X935" s="11"/>
      <c r="Y935" s="11"/>
      <c r="Z935" s="11"/>
    </row>
    <row r="936">
      <c r="A936" s="18"/>
      <c r="B936" s="11"/>
      <c r="C936" s="11"/>
      <c r="D936" s="11"/>
      <c r="E936" s="11"/>
      <c r="F936" s="11"/>
      <c r="G936" s="11"/>
      <c r="H936" s="11"/>
      <c r="I936" s="11"/>
      <c r="J936" s="11"/>
      <c r="K936" s="11"/>
      <c r="L936" s="15"/>
      <c r="M936" s="15"/>
      <c r="N936" s="15"/>
      <c r="O936" s="15"/>
      <c r="P936" s="15"/>
      <c r="Q936" s="11"/>
      <c r="R936" s="11"/>
      <c r="S936" s="11"/>
      <c r="T936" s="11"/>
      <c r="U936" s="15"/>
      <c r="V936" s="11"/>
      <c r="W936" s="11"/>
      <c r="X936" s="11"/>
      <c r="Y936" s="11"/>
      <c r="Z936" s="11"/>
    </row>
    <row r="937">
      <c r="A937" s="18"/>
      <c r="B937" s="11"/>
      <c r="C937" s="11"/>
      <c r="D937" s="11"/>
      <c r="E937" s="11"/>
      <c r="F937" s="11"/>
      <c r="G937" s="11"/>
      <c r="H937" s="11"/>
      <c r="I937" s="11"/>
      <c r="J937" s="11"/>
      <c r="K937" s="11"/>
      <c r="L937" s="15"/>
      <c r="M937" s="15"/>
      <c r="N937" s="15"/>
      <c r="O937" s="15"/>
      <c r="P937" s="15"/>
      <c r="Q937" s="11"/>
      <c r="R937" s="11"/>
      <c r="S937" s="11"/>
      <c r="T937" s="11"/>
      <c r="U937" s="15"/>
      <c r="V937" s="11"/>
      <c r="W937" s="11"/>
      <c r="X937" s="11"/>
      <c r="Y937" s="11"/>
      <c r="Z937" s="11"/>
    </row>
    <row r="938">
      <c r="A938" s="18"/>
      <c r="B938" s="11"/>
      <c r="C938" s="11"/>
      <c r="D938" s="11"/>
      <c r="E938" s="11"/>
      <c r="F938" s="11"/>
      <c r="G938" s="11"/>
      <c r="H938" s="11"/>
      <c r="I938" s="11"/>
      <c r="J938" s="11"/>
      <c r="K938" s="11"/>
      <c r="L938" s="15"/>
      <c r="M938" s="15"/>
      <c r="N938" s="15"/>
      <c r="O938" s="15"/>
      <c r="P938" s="15"/>
      <c r="Q938" s="11"/>
      <c r="R938" s="11"/>
      <c r="S938" s="11"/>
      <c r="T938" s="11"/>
      <c r="U938" s="15"/>
      <c r="V938" s="11"/>
      <c r="W938" s="11"/>
      <c r="X938" s="11"/>
      <c r="Y938" s="11"/>
      <c r="Z938" s="11"/>
    </row>
    <row r="939">
      <c r="A939" s="18"/>
      <c r="B939" s="11"/>
      <c r="C939" s="11"/>
      <c r="D939" s="11"/>
      <c r="E939" s="11"/>
      <c r="F939" s="11"/>
      <c r="G939" s="11"/>
      <c r="H939" s="11"/>
      <c r="I939" s="11"/>
      <c r="J939" s="11"/>
      <c r="K939" s="11"/>
      <c r="L939" s="15"/>
      <c r="M939" s="15"/>
      <c r="N939" s="15"/>
      <c r="O939" s="15"/>
      <c r="P939" s="15"/>
      <c r="Q939" s="11"/>
      <c r="R939" s="11"/>
      <c r="S939" s="11"/>
      <c r="T939" s="11"/>
      <c r="U939" s="15"/>
      <c r="V939" s="11"/>
      <c r="W939" s="11"/>
      <c r="X939" s="11"/>
      <c r="Y939" s="11"/>
      <c r="Z939" s="11"/>
    </row>
    <row r="940">
      <c r="A940" s="18"/>
      <c r="B940" s="11"/>
      <c r="C940" s="11"/>
      <c r="D940" s="11"/>
      <c r="E940" s="11"/>
      <c r="F940" s="11"/>
      <c r="G940" s="11"/>
      <c r="H940" s="11"/>
      <c r="I940" s="11"/>
      <c r="J940" s="11"/>
      <c r="K940" s="11"/>
      <c r="L940" s="15"/>
      <c r="M940" s="15"/>
      <c r="N940" s="15"/>
      <c r="O940" s="15"/>
      <c r="P940" s="15"/>
      <c r="Q940" s="11"/>
      <c r="R940" s="11"/>
      <c r="S940" s="11"/>
      <c r="T940" s="11"/>
      <c r="U940" s="15"/>
      <c r="V940" s="11"/>
      <c r="W940" s="11"/>
      <c r="X940" s="11"/>
      <c r="Y940" s="11"/>
      <c r="Z940" s="11"/>
    </row>
    <row r="941">
      <c r="A941" s="18"/>
      <c r="B941" s="11"/>
      <c r="C941" s="11"/>
      <c r="D941" s="11"/>
      <c r="E941" s="11"/>
      <c r="F941" s="11"/>
      <c r="G941" s="11"/>
      <c r="H941" s="11"/>
      <c r="I941" s="11"/>
      <c r="J941" s="11"/>
      <c r="K941" s="11"/>
      <c r="L941" s="15"/>
      <c r="M941" s="15"/>
      <c r="N941" s="15"/>
      <c r="O941" s="15"/>
      <c r="P941" s="15"/>
      <c r="Q941" s="11"/>
      <c r="R941" s="11"/>
      <c r="S941" s="11"/>
      <c r="T941" s="11"/>
      <c r="U941" s="15"/>
      <c r="V941" s="11"/>
      <c r="W941" s="11"/>
      <c r="X941" s="11"/>
      <c r="Y941" s="11"/>
      <c r="Z941" s="11"/>
    </row>
    <row r="942">
      <c r="A942" s="18"/>
      <c r="B942" s="11"/>
      <c r="C942" s="11"/>
      <c r="D942" s="11"/>
      <c r="E942" s="11"/>
      <c r="F942" s="11"/>
      <c r="G942" s="11"/>
      <c r="H942" s="11"/>
      <c r="I942" s="11"/>
      <c r="J942" s="11"/>
      <c r="K942" s="11"/>
      <c r="L942" s="15"/>
      <c r="M942" s="15"/>
      <c r="N942" s="15"/>
      <c r="O942" s="15"/>
      <c r="P942" s="15"/>
      <c r="Q942" s="11"/>
      <c r="R942" s="11"/>
      <c r="S942" s="11"/>
      <c r="T942" s="11"/>
      <c r="U942" s="15"/>
      <c r="V942" s="11"/>
      <c r="W942" s="11"/>
      <c r="X942" s="11"/>
      <c r="Y942" s="11"/>
      <c r="Z942" s="11"/>
    </row>
    <row r="943">
      <c r="A943" s="18"/>
      <c r="B943" s="11"/>
      <c r="C943" s="11"/>
      <c r="D943" s="11"/>
      <c r="E943" s="11"/>
      <c r="F943" s="11"/>
      <c r="G943" s="11"/>
      <c r="H943" s="11"/>
      <c r="I943" s="11"/>
      <c r="J943" s="11"/>
      <c r="K943" s="11"/>
      <c r="L943" s="15"/>
      <c r="M943" s="15"/>
      <c r="N943" s="15"/>
      <c r="O943" s="15"/>
      <c r="P943" s="15"/>
      <c r="Q943" s="11"/>
      <c r="R943" s="11"/>
      <c r="S943" s="11"/>
      <c r="T943" s="11"/>
      <c r="U943" s="15"/>
      <c r="V943" s="11"/>
      <c r="W943" s="11"/>
      <c r="X943" s="11"/>
      <c r="Y943" s="11"/>
      <c r="Z943" s="11"/>
    </row>
    <row r="944">
      <c r="A944" s="18"/>
      <c r="B944" s="11"/>
      <c r="C944" s="11"/>
      <c r="D944" s="11"/>
      <c r="E944" s="11"/>
      <c r="F944" s="11"/>
      <c r="G944" s="11"/>
      <c r="H944" s="11"/>
      <c r="I944" s="11"/>
      <c r="J944" s="11"/>
      <c r="K944" s="11"/>
      <c r="L944" s="15"/>
      <c r="M944" s="15"/>
      <c r="N944" s="15"/>
      <c r="O944" s="15"/>
      <c r="P944" s="15"/>
      <c r="Q944" s="11"/>
      <c r="R944" s="11"/>
      <c r="S944" s="11"/>
      <c r="T944" s="11"/>
      <c r="U944" s="15"/>
      <c r="V944" s="11"/>
      <c r="W944" s="11"/>
      <c r="X944" s="11"/>
      <c r="Y944" s="11"/>
      <c r="Z944" s="11"/>
    </row>
    <row r="945">
      <c r="A945" s="18"/>
      <c r="B945" s="11"/>
      <c r="C945" s="11"/>
      <c r="D945" s="11"/>
      <c r="E945" s="11"/>
      <c r="F945" s="11"/>
      <c r="G945" s="11"/>
      <c r="H945" s="11"/>
      <c r="I945" s="11"/>
      <c r="J945" s="11"/>
      <c r="K945" s="11"/>
      <c r="L945" s="15"/>
      <c r="M945" s="15"/>
      <c r="N945" s="15"/>
      <c r="O945" s="15"/>
      <c r="P945" s="15"/>
      <c r="Q945" s="11"/>
      <c r="R945" s="11"/>
      <c r="S945" s="11"/>
      <c r="T945" s="11"/>
      <c r="U945" s="15"/>
      <c r="V945" s="11"/>
      <c r="W945" s="11"/>
      <c r="X945" s="11"/>
      <c r="Y945" s="11"/>
      <c r="Z945" s="11"/>
    </row>
    <row r="946">
      <c r="A946" s="18"/>
      <c r="B946" s="11"/>
      <c r="C946" s="11"/>
      <c r="D946" s="11"/>
      <c r="E946" s="11"/>
      <c r="F946" s="11"/>
      <c r="G946" s="11"/>
      <c r="H946" s="11"/>
      <c r="I946" s="11"/>
      <c r="J946" s="11"/>
      <c r="K946" s="11"/>
      <c r="L946" s="15"/>
      <c r="M946" s="15"/>
      <c r="N946" s="15"/>
      <c r="O946" s="15"/>
      <c r="P946" s="15"/>
      <c r="Q946" s="11"/>
      <c r="R946" s="11"/>
      <c r="S946" s="11"/>
      <c r="T946" s="11"/>
      <c r="U946" s="15"/>
      <c r="V946" s="11"/>
      <c r="W946" s="11"/>
      <c r="X946" s="11"/>
      <c r="Y946" s="11"/>
      <c r="Z946" s="11"/>
    </row>
    <row r="947">
      <c r="A947" s="18"/>
      <c r="B947" s="11"/>
      <c r="C947" s="11"/>
      <c r="D947" s="11"/>
      <c r="E947" s="11"/>
      <c r="F947" s="11"/>
      <c r="G947" s="11"/>
      <c r="H947" s="11"/>
      <c r="I947" s="11"/>
      <c r="J947" s="11"/>
      <c r="K947" s="11"/>
      <c r="L947" s="15"/>
      <c r="M947" s="15"/>
      <c r="N947" s="15"/>
      <c r="O947" s="15"/>
      <c r="P947" s="15"/>
      <c r="Q947" s="11"/>
      <c r="R947" s="11"/>
      <c r="S947" s="11"/>
      <c r="T947" s="11"/>
      <c r="U947" s="15"/>
      <c r="V947" s="11"/>
      <c r="W947" s="11"/>
      <c r="X947" s="11"/>
      <c r="Y947" s="11"/>
      <c r="Z947" s="11"/>
    </row>
    <row r="948">
      <c r="A948" s="18"/>
      <c r="B948" s="11"/>
      <c r="C948" s="11"/>
      <c r="D948" s="11"/>
      <c r="E948" s="11"/>
      <c r="F948" s="11"/>
      <c r="G948" s="11"/>
      <c r="H948" s="11"/>
      <c r="I948" s="11"/>
      <c r="J948" s="11"/>
      <c r="K948" s="11"/>
      <c r="L948" s="15"/>
      <c r="M948" s="15"/>
      <c r="N948" s="15"/>
      <c r="O948" s="15"/>
      <c r="P948" s="15"/>
      <c r="Q948" s="11"/>
      <c r="R948" s="11"/>
      <c r="S948" s="11"/>
      <c r="T948" s="11"/>
      <c r="U948" s="15"/>
      <c r="V948" s="11"/>
      <c r="W948" s="11"/>
      <c r="X948" s="11"/>
      <c r="Y948" s="11"/>
      <c r="Z948" s="11"/>
    </row>
    <row r="949">
      <c r="A949" s="18"/>
      <c r="B949" s="11"/>
      <c r="C949" s="11"/>
      <c r="D949" s="11"/>
      <c r="E949" s="11"/>
      <c r="F949" s="11"/>
      <c r="G949" s="11"/>
      <c r="H949" s="11"/>
      <c r="I949" s="11"/>
      <c r="J949" s="11"/>
      <c r="K949" s="11"/>
      <c r="L949" s="15"/>
      <c r="M949" s="15"/>
      <c r="N949" s="15"/>
      <c r="O949" s="15"/>
      <c r="P949" s="15"/>
      <c r="Q949" s="11"/>
      <c r="R949" s="11"/>
      <c r="S949" s="11"/>
      <c r="T949" s="11"/>
      <c r="U949" s="15"/>
      <c r="V949" s="11"/>
      <c r="W949" s="11"/>
      <c r="X949" s="11"/>
      <c r="Y949" s="11"/>
      <c r="Z949" s="11"/>
    </row>
    <row r="950">
      <c r="A950" s="18"/>
      <c r="B950" s="11"/>
      <c r="C950" s="11"/>
      <c r="D950" s="11"/>
      <c r="E950" s="11"/>
      <c r="F950" s="11"/>
      <c r="G950" s="11"/>
      <c r="H950" s="11"/>
      <c r="I950" s="11"/>
      <c r="J950" s="11"/>
      <c r="K950" s="11"/>
      <c r="L950" s="15"/>
      <c r="M950" s="15"/>
      <c r="N950" s="15"/>
      <c r="O950" s="15"/>
      <c r="P950" s="15"/>
      <c r="Q950" s="11"/>
      <c r="R950" s="11"/>
      <c r="S950" s="11"/>
      <c r="T950" s="11"/>
      <c r="U950" s="15"/>
      <c r="V950" s="11"/>
      <c r="W950" s="11"/>
      <c r="X950" s="11"/>
      <c r="Y950" s="11"/>
      <c r="Z950" s="11"/>
    </row>
    <row r="951">
      <c r="A951" s="18"/>
      <c r="B951" s="11"/>
      <c r="C951" s="11"/>
      <c r="D951" s="11"/>
      <c r="E951" s="11"/>
      <c r="F951" s="11"/>
      <c r="G951" s="11"/>
      <c r="H951" s="11"/>
      <c r="I951" s="11"/>
      <c r="J951" s="11"/>
      <c r="K951" s="11"/>
      <c r="L951" s="15"/>
      <c r="M951" s="15"/>
      <c r="N951" s="15"/>
      <c r="O951" s="15"/>
      <c r="P951" s="15"/>
      <c r="Q951" s="11"/>
      <c r="R951" s="11"/>
      <c r="S951" s="11"/>
      <c r="T951" s="11"/>
      <c r="U951" s="15"/>
      <c r="V951" s="11"/>
      <c r="W951" s="11"/>
      <c r="X951" s="11"/>
      <c r="Y951" s="11"/>
      <c r="Z951" s="11"/>
    </row>
    <row r="952">
      <c r="A952" s="18"/>
      <c r="B952" s="11"/>
      <c r="C952" s="11"/>
      <c r="D952" s="11"/>
      <c r="E952" s="11"/>
      <c r="F952" s="11"/>
      <c r="G952" s="11"/>
      <c r="H952" s="11"/>
      <c r="I952" s="11"/>
      <c r="J952" s="11"/>
      <c r="K952" s="11"/>
      <c r="L952" s="15"/>
      <c r="M952" s="15"/>
      <c r="N952" s="15"/>
      <c r="O952" s="15"/>
      <c r="P952" s="15"/>
      <c r="Q952" s="11"/>
      <c r="R952" s="11"/>
      <c r="S952" s="11"/>
      <c r="T952" s="11"/>
      <c r="U952" s="15"/>
      <c r="V952" s="11"/>
      <c r="W952" s="11"/>
      <c r="X952" s="11"/>
      <c r="Y952" s="11"/>
      <c r="Z952" s="11"/>
    </row>
    <row r="953">
      <c r="A953" s="18"/>
      <c r="B953" s="11"/>
      <c r="C953" s="11"/>
      <c r="D953" s="11"/>
      <c r="E953" s="11"/>
      <c r="F953" s="11"/>
      <c r="G953" s="11"/>
      <c r="H953" s="11"/>
      <c r="I953" s="11"/>
      <c r="J953" s="11"/>
      <c r="K953" s="11"/>
      <c r="L953" s="15"/>
      <c r="M953" s="15"/>
      <c r="N953" s="15"/>
      <c r="O953" s="15"/>
      <c r="P953" s="15"/>
      <c r="Q953" s="11"/>
      <c r="R953" s="11"/>
      <c r="S953" s="11"/>
      <c r="T953" s="11"/>
      <c r="U953" s="15"/>
      <c r="V953" s="11"/>
      <c r="W953" s="11"/>
      <c r="X953" s="11"/>
      <c r="Y953" s="11"/>
      <c r="Z953" s="11"/>
    </row>
    <row r="954">
      <c r="A954" s="18"/>
      <c r="B954" s="11"/>
      <c r="C954" s="11"/>
      <c r="D954" s="11"/>
      <c r="E954" s="11"/>
      <c r="F954" s="11"/>
      <c r="G954" s="11"/>
      <c r="H954" s="11"/>
      <c r="I954" s="11"/>
      <c r="J954" s="11"/>
      <c r="K954" s="11"/>
      <c r="L954" s="15"/>
      <c r="M954" s="15"/>
      <c r="N954" s="15"/>
      <c r="O954" s="15"/>
      <c r="P954" s="15"/>
      <c r="Q954" s="11"/>
      <c r="R954" s="11"/>
      <c r="S954" s="11"/>
      <c r="T954" s="11"/>
      <c r="U954" s="15"/>
      <c r="V954" s="11"/>
      <c r="W954" s="11"/>
      <c r="X954" s="11"/>
      <c r="Y954" s="11"/>
      <c r="Z954" s="11"/>
    </row>
    <row r="955">
      <c r="A955" s="18"/>
      <c r="B955" s="11"/>
      <c r="C955" s="11"/>
      <c r="D955" s="11"/>
      <c r="E955" s="11"/>
      <c r="F955" s="11"/>
      <c r="G955" s="11"/>
      <c r="H955" s="11"/>
      <c r="I955" s="11"/>
      <c r="J955" s="11"/>
      <c r="K955" s="11"/>
      <c r="L955" s="15"/>
      <c r="M955" s="15"/>
      <c r="N955" s="15"/>
      <c r="O955" s="15"/>
      <c r="P955" s="15"/>
      <c r="Q955" s="11"/>
      <c r="R955" s="11"/>
      <c r="S955" s="11"/>
      <c r="T955" s="11"/>
      <c r="U955" s="15"/>
      <c r="V955" s="11"/>
      <c r="W955" s="11"/>
      <c r="X955" s="11"/>
      <c r="Y955" s="11"/>
      <c r="Z955" s="11"/>
    </row>
    <row r="956">
      <c r="A956" s="18"/>
      <c r="B956" s="11"/>
      <c r="C956" s="11"/>
      <c r="D956" s="11"/>
      <c r="E956" s="11"/>
      <c r="F956" s="11"/>
      <c r="G956" s="11"/>
      <c r="H956" s="11"/>
      <c r="I956" s="11"/>
      <c r="J956" s="11"/>
      <c r="K956" s="11"/>
      <c r="L956" s="15"/>
      <c r="M956" s="15"/>
      <c r="N956" s="15"/>
      <c r="O956" s="15"/>
      <c r="P956" s="15"/>
      <c r="Q956" s="11"/>
      <c r="R956" s="11"/>
      <c r="S956" s="11"/>
      <c r="T956" s="11"/>
      <c r="U956" s="15"/>
      <c r="V956" s="11"/>
      <c r="W956" s="11"/>
      <c r="X956" s="11"/>
      <c r="Y956" s="11"/>
      <c r="Z956" s="11"/>
    </row>
    <row r="957">
      <c r="A957" s="18"/>
      <c r="B957" s="11"/>
      <c r="C957" s="11"/>
      <c r="D957" s="11"/>
      <c r="E957" s="11"/>
      <c r="F957" s="11"/>
      <c r="G957" s="11"/>
      <c r="H957" s="11"/>
      <c r="I957" s="11"/>
      <c r="J957" s="11"/>
      <c r="K957" s="11"/>
      <c r="L957" s="15"/>
      <c r="M957" s="15"/>
      <c r="N957" s="15"/>
      <c r="O957" s="15"/>
      <c r="P957" s="15"/>
      <c r="Q957" s="11"/>
      <c r="R957" s="11"/>
      <c r="S957" s="11"/>
      <c r="T957" s="11"/>
      <c r="U957" s="15"/>
      <c r="V957" s="11"/>
      <c r="W957" s="11"/>
      <c r="X957" s="11"/>
      <c r="Y957" s="11"/>
      <c r="Z957" s="11"/>
    </row>
    <row r="958">
      <c r="A958" s="18"/>
      <c r="B958" s="11"/>
      <c r="C958" s="11"/>
      <c r="D958" s="11"/>
      <c r="E958" s="11"/>
      <c r="F958" s="11"/>
      <c r="G958" s="11"/>
      <c r="H958" s="11"/>
      <c r="I958" s="11"/>
      <c r="J958" s="11"/>
      <c r="K958" s="11"/>
      <c r="L958" s="15"/>
      <c r="M958" s="15"/>
      <c r="N958" s="15"/>
      <c r="O958" s="15"/>
      <c r="P958" s="15"/>
      <c r="Q958" s="11"/>
      <c r="R958" s="11"/>
      <c r="S958" s="11"/>
      <c r="T958" s="11"/>
      <c r="U958" s="15"/>
      <c r="V958" s="11"/>
      <c r="W958" s="11"/>
      <c r="X958" s="11"/>
      <c r="Y958" s="11"/>
      <c r="Z958" s="11"/>
    </row>
    <row r="959">
      <c r="A959" s="18"/>
      <c r="B959" s="11"/>
      <c r="C959" s="11"/>
      <c r="D959" s="11"/>
      <c r="E959" s="11"/>
      <c r="F959" s="11"/>
      <c r="G959" s="11"/>
      <c r="H959" s="11"/>
      <c r="I959" s="11"/>
      <c r="J959" s="11"/>
      <c r="K959" s="11"/>
      <c r="L959" s="15"/>
      <c r="M959" s="15"/>
      <c r="N959" s="15"/>
      <c r="O959" s="15"/>
      <c r="P959" s="15"/>
      <c r="Q959" s="11"/>
      <c r="R959" s="11"/>
      <c r="S959" s="11"/>
      <c r="T959" s="11"/>
      <c r="U959" s="15"/>
      <c r="V959" s="11"/>
      <c r="W959" s="11"/>
      <c r="X959" s="11"/>
      <c r="Y959" s="11"/>
      <c r="Z959" s="11"/>
    </row>
    <row r="960">
      <c r="A960" s="18"/>
      <c r="B960" s="11"/>
      <c r="C960" s="11"/>
      <c r="D960" s="11"/>
      <c r="E960" s="11"/>
      <c r="F960" s="11"/>
      <c r="G960" s="11"/>
      <c r="H960" s="11"/>
      <c r="I960" s="11"/>
      <c r="J960" s="11"/>
      <c r="K960" s="11"/>
      <c r="L960" s="15"/>
      <c r="M960" s="15"/>
      <c r="N960" s="15"/>
      <c r="O960" s="15"/>
      <c r="P960" s="15"/>
      <c r="Q960" s="11"/>
      <c r="R960" s="11"/>
      <c r="S960" s="11"/>
      <c r="T960" s="11"/>
      <c r="U960" s="15"/>
      <c r="V960" s="11"/>
      <c r="W960" s="11"/>
      <c r="X960" s="11"/>
      <c r="Y960" s="11"/>
      <c r="Z960" s="11"/>
    </row>
    <row r="961">
      <c r="A961" s="18"/>
      <c r="B961" s="11"/>
      <c r="C961" s="11"/>
      <c r="D961" s="11"/>
      <c r="E961" s="11"/>
      <c r="F961" s="11"/>
      <c r="G961" s="11"/>
      <c r="H961" s="11"/>
      <c r="I961" s="11"/>
      <c r="J961" s="11"/>
      <c r="K961" s="11"/>
      <c r="L961" s="15"/>
      <c r="M961" s="15"/>
      <c r="N961" s="15"/>
      <c r="O961" s="15"/>
      <c r="P961" s="15"/>
      <c r="Q961" s="11"/>
      <c r="R961" s="11"/>
      <c r="S961" s="11"/>
      <c r="T961" s="11"/>
      <c r="U961" s="15"/>
      <c r="V961" s="11"/>
      <c r="W961" s="11"/>
      <c r="X961" s="11"/>
      <c r="Y961" s="11"/>
      <c r="Z961" s="11"/>
    </row>
    <row r="962">
      <c r="A962" s="18"/>
      <c r="B962" s="11"/>
      <c r="C962" s="11"/>
      <c r="D962" s="11"/>
      <c r="E962" s="11"/>
      <c r="F962" s="11"/>
      <c r="G962" s="11"/>
      <c r="H962" s="11"/>
      <c r="I962" s="11"/>
      <c r="J962" s="11"/>
      <c r="K962" s="11"/>
      <c r="L962" s="15"/>
      <c r="M962" s="15"/>
      <c r="N962" s="15"/>
      <c r="O962" s="15"/>
      <c r="P962" s="15"/>
      <c r="Q962" s="11"/>
      <c r="R962" s="11"/>
      <c r="S962" s="11"/>
      <c r="T962" s="11"/>
      <c r="U962" s="15"/>
      <c r="V962" s="11"/>
      <c r="W962" s="11"/>
      <c r="X962" s="11"/>
      <c r="Y962" s="11"/>
      <c r="Z962" s="11"/>
    </row>
    <row r="963">
      <c r="A963" s="18"/>
      <c r="B963" s="11"/>
      <c r="C963" s="11"/>
      <c r="D963" s="11"/>
      <c r="E963" s="11"/>
      <c r="F963" s="11"/>
      <c r="G963" s="11"/>
      <c r="H963" s="11"/>
      <c r="I963" s="11"/>
      <c r="J963" s="11"/>
      <c r="K963" s="11"/>
      <c r="L963" s="15"/>
      <c r="M963" s="15"/>
      <c r="N963" s="15"/>
      <c r="O963" s="15"/>
      <c r="P963" s="15"/>
      <c r="Q963" s="11"/>
      <c r="R963" s="11"/>
      <c r="S963" s="11"/>
      <c r="T963" s="11"/>
      <c r="U963" s="15"/>
      <c r="V963" s="11"/>
      <c r="W963" s="11"/>
      <c r="X963" s="11"/>
      <c r="Y963" s="11"/>
      <c r="Z963" s="11"/>
    </row>
    <row r="964">
      <c r="A964" s="18"/>
      <c r="B964" s="11"/>
      <c r="C964" s="11"/>
      <c r="D964" s="11"/>
      <c r="E964" s="11"/>
      <c r="F964" s="11"/>
      <c r="G964" s="11"/>
      <c r="H964" s="11"/>
      <c r="I964" s="11"/>
      <c r="J964" s="11"/>
      <c r="K964" s="11"/>
      <c r="L964" s="15"/>
      <c r="M964" s="15"/>
      <c r="N964" s="15"/>
      <c r="O964" s="15"/>
      <c r="P964" s="15"/>
      <c r="Q964" s="11"/>
      <c r="R964" s="11"/>
      <c r="S964" s="11"/>
      <c r="T964" s="11"/>
      <c r="U964" s="15"/>
      <c r="V964" s="11"/>
      <c r="W964" s="11"/>
      <c r="X964" s="11"/>
      <c r="Y964" s="11"/>
      <c r="Z964" s="11"/>
    </row>
    <row r="965">
      <c r="A965" s="18"/>
      <c r="B965" s="11"/>
      <c r="C965" s="11"/>
      <c r="D965" s="11"/>
      <c r="E965" s="11"/>
      <c r="F965" s="11"/>
      <c r="G965" s="11"/>
      <c r="H965" s="11"/>
      <c r="I965" s="11"/>
      <c r="J965" s="11"/>
      <c r="K965" s="11"/>
      <c r="L965" s="15"/>
      <c r="M965" s="15"/>
      <c r="N965" s="15"/>
      <c r="O965" s="15"/>
      <c r="P965" s="15"/>
      <c r="Q965" s="11"/>
      <c r="R965" s="11"/>
      <c r="S965" s="11"/>
      <c r="T965" s="11"/>
      <c r="U965" s="15"/>
      <c r="V965" s="11"/>
      <c r="W965" s="11"/>
      <c r="X965" s="11"/>
      <c r="Y965" s="11"/>
      <c r="Z965" s="11"/>
    </row>
    <row r="966">
      <c r="A966" s="18"/>
      <c r="B966" s="11"/>
      <c r="C966" s="11"/>
      <c r="D966" s="11"/>
      <c r="E966" s="11"/>
      <c r="F966" s="11"/>
      <c r="G966" s="11"/>
      <c r="H966" s="11"/>
      <c r="I966" s="11"/>
      <c r="J966" s="11"/>
      <c r="K966" s="11"/>
      <c r="L966" s="15"/>
      <c r="M966" s="15"/>
      <c r="N966" s="15"/>
      <c r="O966" s="15"/>
      <c r="P966" s="15"/>
      <c r="Q966" s="11"/>
      <c r="R966" s="11"/>
      <c r="S966" s="11"/>
      <c r="T966" s="11"/>
      <c r="U966" s="15"/>
      <c r="V966" s="11"/>
      <c r="W966" s="11"/>
      <c r="X966" s="11"/>
      <c r="Y966" s="11"/>
      <c r="Z966" s="11"/>
    </row>
    <row r="967">
      <c r="A967" s="18"/>
      <c r="B967" s="11"/>
      <c r="C967" s="11"/>
      <c r="D967" s="11"/>
      <c r="E967" s="11"/>
      <c r="F967" s="11"/>
      <c r="G967" s="11"/>
      <c r="H967" s="11"/>
      <c r="I967" s="11"/>
      <c r="J967" s="11"/>
      <c r="K967" s="11"/>
      <c r="L967" s="15"/>
      <c r="M967" s="15"/>
      <c r="N967" s="15"/>
      <c r="O967" s="15"/>
      <c r="P967" s="15"/>
      <c r="Q967" s="11"/>
      <c r="R967" s="11"/>
      <c r="S967" s="11"/>
      <c r="T967" s="11"/>
      <c r="U967" s="15"/>
      <c r="V967" s="11"/>
      <c r="W967" s="11"/>
      <c r="X967" s="11"/>
      <c r="Y967" s="11"/>
      <c r="Z967" s="11"/>
    </row>
    <row r="968">
      <c r="A968" s="18"/>
      <c r="B968" s="11"/>
      <c r="C968" s="11"/>
      <c r="D968" s="11"/>
      <c r="E968" s="11"/>
      <c r="F968" s="11"/>
      <c r="G968" s="11"/>
      <c r="H968" s="11"/>
      <c r="I968" s="11"/>
      <c r="J968" s="11"/>
      <c r="K968" s="11"/>
      <c r="L968" s="15"/>
      <c r="M968" s="15"/>
      <c r="N968" s="15"/>
      <c r="O968" s="15"/>
      <c r="P968" s="15"/>
      <c r="Q968" s="11"/>
      <c r="R968" s="11"/>
      <c r="S968" s="11"/>
      <c r="T968" s="11"/>
      <c r="U968" s="15"/>
      <c r="V968" s="11"/>
      <c r="W968" s="11"/>
      <c r="X968" s="11"/>
      <c r="Y968" s="11"/>
      <c r="Z968" s="11"/>
    </row>
    <row r="969">
      <c r="A969" s="18"/>
      <c r="B969" s="11"/>
      <c r="C969" s="11"/>
      <c r="D969" s="11"/>
      <c r="E969" s="11"/>
      <c r="F969" s="11"/>
      <c r="G969" s="11"/>
      <c r="H969" s="11"/>
      <c r="I969" s="11"/>
      <c r="J969" s="11"/>
      <c r="K969" s="11"/>
      <c r="L969" s="15"/>
      <c r="M969" s="15"/>
      <c r="N969" s="15"/>
      <c r="O969" s="15"/>
      <c r="P969" s="15"/>
      <c r="Q969" s="11"/>
      <c r="R969" s="11"/>
      <c r="S969" s="11"/>
      <c r="T969" s="11"/>
      <c r="U969" s="15"/>
      <c r="V969" s="11"/>
      <c r="W969" s="11"/>
      <c r="X969" s="11"/>
      <c r="Y969" s="11"/>
      <c r="Z969" s="11"/>
    </row>
    <row r="970">
      <c r="A970" s="18"/>
      <c r="B970" s="11"/>
      <c r="C970" s="11"/>
      <c r="D970" s="11"/>
      <c r="E970" s="11"/>
      <c r="F970" s="11"/>
      <c r="G970" s="11"/>
      <c r="H970" s="11"/>
      <c r="I970" s="11"/>
      <c r="J970" s="11"/>
      <c r="K970" s="11"/>
      <c r="L970" s="15"/>
      <c r="M970" s="15"/>
      <c r="N970" s="15"/>
      <c r="O970" s="15"/>
      <c r="P970" s="15"/>
      <c r="Q970" s="11"/>
      <c r="R970" s="11"/>
      <c r="S970" s="11"/>
      <c r="T970" s="11"/>
      <c r="U970" s="15"/>
      <c r="V970" s="11"/>
      <c r="W970" s="11"/>
      <c r="X970" s="11"/>
      <c r="Y970" s="11"/>
      <c r="Z970" s="11"/>
    </row>
    <row r="971">
      <c r="A971" s="18"/>
      <c r="B971" s="11"/>
      <c r="C971" s="11"/>
      <c r="D971" s="11"/>
      <c r="E971" s="11"/>
      <c r="F971" s="11"/>
      <c r="G971" s="11"/>
      <c r="H971" s="11"/>
      <c r="I971" s="11"/>
      <c r="J971" s="11"/>
      <c r="K971" s="11"/>
      <c r="L971" s="15"/>
      <c r="M971" s="15"/>
      <c r="N971" s="15"/>
      <c r="O971" s="15"/>
      <c r="P971" s="15"/>
      <c r="Q971" s="11"/>
      <c r="R971" s="11"/>
      <c r="S971" s="11"/>
      <c r="T971" s="11"/>
      <c r="U971" s="15"/>
      <c r="V971" s="11"/>
      <c r="W971" s="11"/>
      <c r="X971" s="11"/>
      <c r="Y971" s="11"/>
      <c r="Z971" s="11"/>
    </row>
    <row r="972">
      <c r="A972" s="18"/>
      <c r="B972" s="11"/>
      <c r="C972" s="11"/>
      <c r="D972" s="11"/>
      <c r="E972" s="11"/>
      <c r="F972" s="11"/>
      <c r="G972" s="11"/>
      <c r="H972" s="11"/>
      <c r="I972" s="11"/>
      <c r="J972" s="11"/>
      <c r="K972" s="11"/>
      <c r="L972" s="15"/>
      <c r="M972" s="15"/>
      <c r="N972" s="15"/>
      <c r="O972" s="15"/>
      <c r="P972" s="15"/>
      <c r="Q972" s="11"/>
      <c r="R972" s="11"/>
      <c r="S972" s="11"/>
      <c r="T972" s="11"/>
      <c r="U972" s="15"/>
      <c r="V972" s="11"/>
      <c r="W972" s="11"/>
      <c r="X972" s="11"/>
      <c r="Y972" s="11"/>
      <c r="Z972" s="11"/>
    </row>
    <row r="973">
      <c r="A973" s="18"/>
      <c r="B973" s="11"/>
      <c r="C973" s="11"/>
      <c r="D973" s="11"/>
      <c r="E973" s="11"/>
      <c r="F973" s="11"/>
      <c r="G973" s="11"/>
      <c r="H973" s="11"/>
      <c r="I973" s="11"/>
      <c r="J973" s="11"/>
      <c r="K973" s="11"/>
      <c r="L973" s="15"/>
      <c r="M973" s="15"/>
      <c r="N973" s="15"/>
      <c r="O973" s="15"/>
      <c r="P973" s="15"/>
      <c r="Q973" s="11"/>
      <c r="R973" s="11"/>
      <c r="S973" s="11"/>
      <c r="T973" s="11"/>
      <c r="U973" s="15"/>
      <c r="V973" s="11"/>
      <c r="W973" s="11"/>
      <c r="X973" s="11"/>
      <c r="Y973" s="11"/>
      <c r="Z973" s="11"/>
    </row>
    <row r="974">
      <c r="A974" s="18"/>
      <c r="B974" s="11"/>
      <c r="C974" s="11"/>
      <c r="D974" s="11"/>
      <c r="E974" s="11"/>
      <c r="F974" s="11"/>
      <c r="G974" s="11"/>
      <c r="H974" s="11"/>
      <c r="I974" s="11"/>
      <c r="J974" s="11"/>
      <c r="K974" s="11"/>
      <c r="L974" s="15"/>
      <c r="M974" s="15"/>
      <c r="N974" s="15"/>
      <c r="O974" s="15"/>
      <c r="P974" s="15"/>
      <c r="Q974" s="11"/>
      <c r="R974" s="11"/>
      <c r="S974" s="11"/>
      <c r="T974" s="11"/>
      <c r="U974" s="15"/>
      <c r="V974" s="11"/>
      <c r="W974" s="11"/>
      <c r="X974" s="11"/>
      <c r="Y974" s="11"/>
      <c r="Z974" s="11"/>
    </row>
    <row r="975">
      <c r="A975" s="18"/>
      <c r="B975" s="11"/>
      <c r="C975" s="11"/>
      <c r="D975" s="11"/>
      <c r="E975" s="11"/>
      <c r="F975" s="11"/>
      <c r="G975" s="11"/>
      <c r="H975" s="11"/>
      <c r="I975" s="11"/>
      <c r="J975" s="11"/>
      <c r="K975" s="11"/>
      <c r="L975" s="15"/>
      <c r="M975" s="15"/>
      <c r="N975" s="15"/>
      <c r="O975" s="15"/>
      <c r="P975" s="15"/>
      <c r="Q975" s="11"/>
      <c r="R975" s="11"/>
      <c r="S975" s="11"/>
      <c r="T975" s="11"/>
      <c r="U975" s="15"/>
      <c r="V975" s="11"/>
      <c r="W975" s="11"/>
      <c r="X975" s="11"/>
      <c r="Y975" s="11"/>
      <c r="Z975" s="11"/>
    </row>
    <row r="976">
      <c r="A976" s="18"/>
      <c r="B976" s="11"/>
      <c r="C976" s="11"/>
      <c r="D976" s="11"/>
      <c r="E976" s="11"/>
      <c r="F976" s="11"/>
      <c r="G976" s="11"/>
      <c r="H976" s="11"/>
      <c r="I976" s="11"/>
      <c r="J976" s="11"/>
      <c r="K976" s="11"/>
      <c r="L976" s="15"/>
      <c r="M976" s="15"/>
      <c r="N976" s="15"/>
      <c r="O976" s="15"/>
      <c r="P976" s="15"/>
      <c r="Q976" s="11"/>
      <c r="R976" s="11"/>
      <c r="S976" s="11"/>
      <c r="T976" s="11"/>
      <c r="U976" s="15"/>
      <c r="V976" s="11"/>
      <c r="W976" s="11"/>
      <c r="X976" s="11"/>
      <c r="Y976" s="11"/>
      <c r="Z976" s="11"/>
    </row>
    <row r="977">
      <c r="A977" s="18"/>
      <c r="B977" s="11"/>
      <c r="C977" s="11"/>
      <c r="D977" s="11"/>
      <c r="E977" s="11"/>
      <c r="F977" s="11"/>
      <c r="G977" s="11"/>
      <c r="H977" s="11"/>
      <c r="I977" s="11"/>
      <c r="J977" s="11"/>
      <c r="K977" s="11"/>
      <c r="L977" s="15"/>
      <c r="M977" s="15"/>
      <c r="N977" s="15"/>
      <c r="O977" s="15"/>
      <c r="P977" s="15"/>
      <c r="Q977" s="11"/>
      <c r="R977" s="11"/>
      <c r="S977" s="11"/>
      <c r="T977" s="11"/>
      <c r="U977" s="15"/>
      <c r="V977" s="11"/>
      <c r="W977" s="11"/>
      <c r="X977" s="11"/>
      <c r="Y977" s="11"/>
      <c r="Z977" s="11"/>
    </row>
    <row r="978">
      <c r="A978" s="18"/>
      <c r="B978" s="11"/>
      <c r="C978" s="11"/>
      <c r="D978" s="11"/>
      <c r="E978" s="11"/>
      <c r="F978" s="11"/>
      <c r="G978" s="11"/>
      <c r="H978" s="11"/>
      <c r="I978" s="11"/>
      <c r="J978" s="11"/>
      <c r="K978" s="11"/>
      <c r="L978" s="15"/>
      <c r="M978" s="15"/>
      <c r="N978" s="15"/>
      <c r="O978" s="15"/>
      <c r="P978" s="15"/>
      <c r="Q978" s="11"/>
      <c r="R978" s="11"/>
      <c r="S978" s="11"/>
      <c r="T978" s="11"/>
      <c r="U978" s="15"/>
      <c r="V978" s="11"/>
      <c r="W978" s="11"/>
      <c r="X978" s="11"/>
      <c r="Y978" s="11"/>
      <c r="Z978" s="11"/>
    </row>
    <row r="979">
      <c r="A979" s="18"/>
      <c r="B979" s="11"/>
      <c r="C979" s="11"/>
      <c r="D979" s="11"/>
      <c r="E979" s="11"/>
      <c r="F979" s="11"/>
      <c r="G979" s="11"/>
      <c r="H979" s="11"/>
      <c r="I979" s="11"/>
      <c r="J979" s="11"/>
      <c r="K979" s="11"/>
      <c r="L979" s="15"/>
      <c r="M979" s="15"/>
      <c r="N979" s="15"/>
      <c r="O979" s="15"/>
      <c r="P979" s="15"/>
      <c r="Q979" s="11"/>
      <c r="R979" s="11"/>
      <c r="S979" s="11"/>
      <c r="T979" s="11"/>
      <c r="U979" s="15"/>
      <c r="V979" s="11"/>
      <c r="W979" s="11"/>
      <c r="X979" s="11"/>
      <c r="Y979" s="11"/>
      <c r="Z979" s="11"/>
    </row>
    <row r="980">
      <c r="A980" s="18"/>
      <c r="B980" s="11"/>
      <c r="C980" s="11"/>
      <c r="D980" s="11"/>
      <c r="E980" s="11"/>
      <c r="F980" s="11"/>
      <c r="G980" s="11"/>
      <c r="H980" s="11"/>
      <c r="I980" s="11"/>
      <c r="J980" s="11"/>
      <c r="K980" s="11"/>
      <c r="L980" s="15"/>
      <c r="M980" s="15"/>
      <c r="N980" s="15"/>
      <c r="O980" s="15"/>
      <c r="P980" s="15"/>
      <c r="Q980" s="11"/>
      <c r="R980" s="11"/>
      <c r="S980" s="11"/>
      <c r="T980" s="11"/>
      <c r="U980" s="15"/>
      <c r="V980" s="11"/>
      <c r="W980" s="11"/>
      <c r="X980" s="11"/>
      <c r="Y980" s="11"/>
      <c r="Z980" s="11"/>
    </row>
    <row r="981">
      <c r="A981" s="18"/>
      <c r="B981" s="11"/>
      <c r="C981" s="11"/>
      <c r="D981" s="11"/>
      <c r="E981" s="11"/>
      <c r="F981" s="11"/>
      <c r="G981" s="11"/>
      <c r="H981" s="11"/>
      <c r="I981" s="11"/>
      <c r="J981" s="11"/>
      <c r="K981" s="11"/>
      <c r="L981" s="15"/>
      <c r="M981" s="15"/>
      <c r="N981" s="15"/>
      <c r="O981" s="15"/>
      <c r="P981" s="15"/>
      <c r="Q981" s="11"/>
      <c r="R981" s="11"/>
      <c r="S981" s="11"/>
      <c r="T981" s="11"/>
      <c r="U981" s="15"/>
      <c r="V981" s="11"/>
      <c r="W981" s="11"/>
      <c r="X981" s="11"/>
      <c r="Y981" s="11"/>
      <c r="Z981" s="11"/>
    </row>
    <row r="982">
      <c r="A982" s="18"/>
      <c r="B982" s="11"/>
      <c r="C982" s="11"/>
      <c r="D982" s="11"/>
      <c r="E982" s="11"/>
      <c r="F982" s="11"/>
      <c r="G982" s="11"/>
      <c r="H982" s="11"/>
      <c r="I982" s="11"/>
      <c r="J982" s="11"/>
      <c r="K982" s="11"/>
      <c r="L982" s="15"/>
      <c r="M982" s="15"/>
      <c r="N982" s="15"/>
      <c r="O982" s="15"/>
      <c r="P982" s="15"/>
      <c r="Q982" s="11"/>
      <c r="R982" s="11"/>
      <c r="S982" s="11"/>
      <c r="T982" s="11"/>
      <c r="U982" s="15"/>
      <c r="V982" s="11"/>
      <c r="W982" s="11"/>
      <c r="X982" s="11"/>
      <c r="Y982" s="11"/>
      <c r="Z982" s="11"/>
    </row>
    <row r="983">
      <c r="A983" s="18"/>
      <c r="B983" s="11"/>
      <c r="C983" s="11"/>
      <c r="D983" s="11"/>
      <c r="E983" s="11"/>
      <c r="F983" s="11"/>
      <c r="G983" s="11"/>
      <c r="H983" s="11"/>
      <c r="I983" s="11"/>
      <c r="J983" s="11"/>
      <c r="K983" s="11"/>
      <c r="L983" s="15"/>
      <c r="M983" s="15"/>
      <c r="N983" s="15"/>
      <c r="O983" s="15"/>
      <c r="P983" s="15"/>
      <c r="Q983" s="11"/>
      <c r="R983" s="11"/>
      <c r="S983" s="11"/>
      <c r="T983" s="11"/>
      <c r="U983" s="15"/>
      <c r="V983" s="11"/>
      <c r="W983" s="11"/>
      <c r="X983" s="11"/>
      <c r="Y983" s="11"/>
      <c r="Z983" s="11"/>
    </row>
    <row r="984">
      <c r="A984" s="18"/>
      <c r="B984" s="11"/>
      <c r="C984" s="11"/>
      <c r="D984" s="11"/>
      <c r="E984" s="11"/>
      <c r="F984" s="11"/>
      <c r="G984" s="11"/>
      <c r="H984" s="11"/>
      <c r="I984" s="11"/>
      <c r="J984" s="11"/>
      <c r="K984" s="11"/>
      <c r="L984" s="15"/>
      <c r="M984" s="15"/>
      <c r="N984" s="15"/>
      <c r="O984" s="15"/>
      <c r="P984" s="15"/>
      <c r="Q984" s="11"/>
      <c r="R984" s="11"/>
      <c r="S984" s="11"/>
      <c r="T984" s="11"/>
      <c r="U984" s="15"/>
      <c r="V984" s="11"/>
      <c r="W984" s="11"/>
      <c r="X984" s="11"/>
      <c r="Y984" s="11"/>
      <c r="Z984" s="11"/>
    </row>
    <row r="985">
      <c r="A985" s="18"/>
      <c r="B985" s="11"/>
      <c r="C985" s="11"/>
      <c r="D985" s="11"/>
      <c r="E985" s="11"/>
      <c r="F985" s="11"/>
      <c r="G985" s="11"/>
      <c r="H985" s="11"/>
      <c r="I985" s="11"/>
      <c r="J985" s="11"/>
      <c r="K985" s="11"/>
      <c r="L985" s="15"/>
      <c r="M985" s="15"/>
      <c r="N985" s="15"/>
      <c r="O985" s="15"/>
      <c r="P985" s="15"/>
      <c r="Q985" s="11"/>
      <c r="R985" s="11"/>
      <c r="S985" s="11"/>
      <c r="T985" s="11"/>
      <c r="U985" s="15"/>
      <c r="V985" s="11"/>
      <c r="W985" s="11"/>
      <c r="X985" s="11"/>
      <c r="Y985" s="11"/>
      <c r="Z985" s="11"/>
    </row>
    <row r="986">
      <c r="A986" s="18"/>
      <c r="B986" s="11"/>
      <c r="C986" s="11"/>
      <c r="D986" s="11"/>
      <c r="E986" s="11"/>
      <c r="F986" s="11"/>
      <c r="G986" s="11"/>
      <c r="H986" s="11"/>
      <c r="I986" s="11"/>
      <c r="J986" s="11"/>
      <c r="K986" s="11"/>
      <c r="L986" s="15"/>
      <c r="M986" s="15"/>
      <c r="N986" s="15"/>
      <c r="O986" s="15"/>
      <c r="P986" s="15"/>
      <c r="Q986" s="11"/>
      <c r="R986" s="11"/>
      <c r="S986" s="11"/>
      <c r="T986" s="11"/>
      <c r="U986" s="15"/>
      <c r="V986" s="11"/>
      <c r="W986" s="11"/>
      <c r="X986" s="11"/>
      <c r="Y986" s="11"/>
      <c r="Z986" s="11"/>
    </row>
    <row r="987">
      <c r="A987" s="18"/>
      <c r="B987" s="11"/>
      <c r="C987" s="11"/>
      <c r="D987" s="11"/>
      <c r="E987" s="11"/>
      <c r="F987" s="11"/>
      <c r="G987" s="11"/>
      <c r="H987" s="11"/>
      <c r="I987" s="11"/>
      <c r="J987" s="11"/>
      <c r="K987" s="11"/>
      <c r="L987" s="15"/>
      <c r="M987" s="15"/>
      <c r="N987" s="15"/>
      <c r="O987" s="15"/>
      <c r="P987" s="15"/>
      <c r="Q987" s="11"/>
      <c r="R987" s="11"/>
      <c r="S987" s="11"/>
      <c r="T987" s="11"/>
      <c r="U987" s="15"/>
      <c r="V987" s="11"/>
      <c r="W987" s="11"/>
      <c r="X987" s="11"/>
      <c r="Y987" s="11"/>
      <c r="Z987" s="11"/>
    </row>
    <row r="988">
      <c r="A988" s="18"/>
      <c r="B988" s="11"/>
      <c r="C988" s="11"/>
      <c r="D988" s="11"/>
      <c r="E988" s="11"/>
      <c r="F988" s="11"/>
      <c r="G988" s="11"/>
      <c r="H988" s="11"/>
      <c r="I988" s="11"/>
      <c r="J988" s="11"/>
      <c r="K988" s="11"/>
      <c r="L988" s="15"/>
      <c r="M988" s="15"/>
      <c r="N988" s="15"/>
      <c r="O988" s="15"/>
      <c r="P988" s="15"/>
      <c r="Q988" s="11"/>
      <c r="R988" s="11"/>
      <c r="S988" s="11"/>
      <c r="T988" s="11"/>
      <c r="U988" s="15"/>
      <c r="V988" s="11"/>
      <c r="W988" s="11"/>
      <c r="X988" s="11"/>
      <c r="Y988" s="11"/>
      <c r="Z988" s="11"/>
    </row>
    <row r="989">
      <c r="A989" s="18"/>
      <c r="B989" s="11"/>
      <c r="C989" s="11"/>
      <c r="D989" s="11"/>
      <c r="E989" s="11"/>
      <c r="F989" s="11"/>
      <c r="G989" s="11"/>
      <c r="H989" s="11"/>
      <c r="I989" s="11"/>
      <c r="J989" s="11"/>
      <c r="K989" s="11"/>
      <c r="L989" s="15"/>
      <c r="M989" s="15"/>
      <c r="N989" s="15"/>
      <c r="O989" s="15"/>
      <c r="P989" s="15"/>
      <c r="Q989" s="11"/>
      <c r="R989" s="11"/>
      <c r="S989" s="11"/>
      <c r="T989" s="11"/>
      <c r="U989" s="15"/>
      <c r="V989" s="11"/>
      <c r="W989" s="11"/>
      <c r="X989" s="11"/>
      <c r="Y989" s="11"/>
      <c r="Z989" s="11"/>
    </row>
    <row r="990">
      <c r="A990" s="18"/>
      <c r="B990" s="11"/>
      <c r="C990" s="11"/>
      <c r="D990" s="11"/>
      <c r="E990" s="11"/>
      <c r="F990" s="11"/>
      <c r="G990" s="11"/>
      <c r="H990" s="11"/>
      <c r="I990" s="11"/>
      <c r="J990" s="11"/>
      <c r="K990" s="11"/>
      <c r="L990" s="15"/>
      <c r="M990" s="15"/>
      <c r="N990" s="15"/>
      <c r="O990" s="15"/>
      <c r="P990" s="15"/>
      <c r="Q990" s="11"/>
      <c r="R990" s="11"/>
      <c r="S990" s="11"/>
      <c r="T990" s="11"/>
      <c r="U990" s="15"/>
      <c r="V990" s="11"/>
      <c r="W990" s="11"/>
      <c r="X990" s="11"/>
      <c r="Y990" s="11"/>
      <c r="Z990" s="11"/>
    </row>
    <row r="991">
      <c r="A991" s="18"/>
      <c r="B991" s="11"/>
      <c r="C991" s="11"/>
      <c r="D991" s="11"/>
      <c r="E991" s="11"/>
      <c r="F991" s="11"/>
      <c r="G991" s="11"/>
      <c r="H991" s="11"/>
      <c r="I991" s="11"/>
      <c r="J991" s="11"/>
      <c r="K991" s="11"/>
      <c r="L991" s="15"/>
      <c r="M991" s="15"/>
      <c r="N991" s="15"/>
      <c r="O991" s="15"/>
      <c r="P991" s="15"/>
      <c r="Q991" s="11"/>
      <c r="R991" s="11"/>
      <c r="S991" s="11"/>
      <c r="T991" s="11"/>
      <c r="U991" s="15"/>
      <c r="V991" s="11"/>
      <c r="W991" s="11"/>
      <c r="X991" s="11"/>
      <c r="Y991" s="11"/>
      <c r="Z991" s="11"/>
    </row>
    <row r="992">
      <c r="A992" s="18"/>
      <c r="B992" s="11"/>
      <c r="C992" s="11"/>
      <c r="D992" s="11"/>
      <c r="E992" s="11"/>
      <c r="F992" s="11"/>
      <c r="G992" s="11"/>
      <c r="H992" s="11"/>
      <c r="I992" s="11"/>
      <c r="J992" s="11"/>
      <c r="K992" s="11"/>
      <c r="L992" s="15"/>
      <c r="M992" s="15"/>
      <c r="N992" s="15"/>
      <c r="O992" s="15"/>
      <c r="P992" s="15"/>
      <c r="Q992" s="11"/>
      <c r="R992" s="11"/>
      <c r="S992" s="11"/>
      <c r="T992" s="11"/>
      <c r="U992" s="15"/>
      <c r="V992" s="11"/>
      <c r="W992" s="11"/>
      <c r="X992" s="11"/>
      <c r="Y992" s="11"/>
      <c r="Z992" s="11"/>
    </row>
    <row r="993">
      <c r="A993" s="18"/>
      <c r="B993" s="11"/>
      <c r="C993" s="11"/>
      <c r="D993" s="11"/>
      <c r="E993" s="11"/>
      <c r="F993" s="11"/>
      <c r="G993" s="11"/>
      <c r="H993" s="11"/>
      <c r="I993" s="11"/>
      <c r="J993" s="11"/>
      <c r="K993" s="11"/>
      <c r="L993" s="15"/>
      <c r="M993" s="15"/>
      <c r="N993" s="15"/>
      <c r="O993" s="15"/>
      <c r="P993" s="15"/>
      <c r="Q993" s="11"/>
      <c r="R993" s="11"/>
      <c r="S993" s="11"/>
      <c r="T993" s="11"/>
      <c r="U993" s="15"/>
      <c r="V993" s="11"/>
      <c r="W993" s="11"/>
      <c r="X993" s="11"/>
      <c r="Y993" s="11"/>
      <c r="Z993" s="11"/>
    </row>
    <row r="994">
      <c r="A994" s="18"/>
      <c r="B994" s="11"/>
      <c r="C994" s="11"/>
      <c r="D994" s="11"/>
      <c r="E994" s="11"/>
      <c r="F994" s="11"/>
      <c r="G994" s="11"/>
      <c r="H994" s="11"/>
      <c r="I994" s="11"/>
      <c r="J994" s="11"/>
      <c r="K994" s="11"/>
      <c r="L994" s="15"/>
      <c r="M994" s="15"/>
      <c r="N994" s="15"/>
      <c r="O994" s="15"/>
      <c r="P994" s="15"/>
      <c r="Q994" s="11"/>
      <c r="R994" s="11"/>
      <c r="S994" s="11"/>
      <c r="T994" s="11"/>
      <c r="U994" s="15"/>
      <c r="V994" s="11"/>
      <c r="W994" s="11"/>
      <c r="X994" s="11"/>
      <c r="Y994" s="11"/>
      <c r="Z994" s="11"/>
    </row>
    <row r="995">
      <c r="A995" s="18"/>
      <c r="B995" s="11"/>
      <c r="C995" s="11"/>
      <c r="D995" s="11"/>
      <c r="E995" s="11"/>
      <c r="F995" s="11"/>
      <c r="G995" s="11"/>
      <c r="H995" s="11"/>
      <c r="I995" s="11"/>
      <c r="J995" s="11"/>
      <c r="K995" s="11"/>
      <c r="L995" s="15"/>
      <c r="M995" s="15"/>
      <c r="N995" s="15"/>
      <c r="O995" s="15"/>
      <c r="P995" s="15"/>
      <c r="Q995" s="11"/>
      <c r="R995" s="11"/>
      <c r="S995" s="11"/>
      <c r="T995" s="11"/>
      <c r="U995" s="15"/>
      <c r="V995" s="11"/>
      <c r="W995" s="11"/>
      <c r="X995" s="11"/>
      <c r="Y995" s="11"/>
      <c r="Z995" s="11"/>
    </row>
    <row r="996">
      <c r="A996" s="18"/>
      <c r="B996" s="11"/>
      <c r="C996" s="11"/>
      <c r="D996" s="11"/>
      <c r="E996" s="11"/>
      <c r="F996" s="11"/>
      <c r="G996" s="11"/>
      <c r="H996" s="11"/>
      <c r="I996" s="11"/>
      <c r="J996" s="11"/>
      <c r="K996" s="11"/>
      <c r="L996" s="15"/>
      <c r="M996" s="15"/>
      <c r="N996" s="15"/>
      <c r="O996" s="15"/>
      <c r="P996" s="15"/>
      <c r="Q996" s="11"/>
      <c r="R996" s="11"/>
      <c r="S996" s="11"/>
      <c r="T996" s="11"/>
      <c r="U996" s="15"/>
      <c r="V996" s="11"/>
      <c r="W996" s="11"/>
      <c r="X996" s="11"/>
      <c r="Y996" s="11"/>
      <c r="Z996" s="11"/>
    </row>
    <row r="997">
      <c r="A997" s="18"/>
      <c r="B997" s="11"/>
      <c r="C997" s="11"/>
      <c r="D997" s="11"/>
      <c r="E997" s="11"/>
      <c r="F997" s="11"/>
      <c r="G997" s="11"/>
      <c r="H997" s="11"/>
      <c r="I997" s="11"/>
      <c r="J997" s="11"/>
      <c r="K997" s="11"/>
      <c r="L997" s="15"/>
      <c r="M997" s="15"/>
      <c r="N997" s="15"/>
      <c r="O997" s="15"/>
      <c r="P997" s="15"/>
      <c r="Q997" s="11"/>
      <c r="R997" s="11"/>
      <c r="S997" s="11"/>
      <c r="T997" s="11"/>
      <c r="U997" s="15"/>
      <c r="V997" s="11"/>
      <c r="W997" s="11"/>
      <c r="X997" s="11"/>
      <c r="Y997" s="11"/>
      <c r="Z997" s="11"/>
    </row>
    <row r="998">
      <c r="A998" s="18"/>
      <c r="B998" s="11"/>
      <c r="C998" s="11"/>
      <c r="D998" s="11"/>
      <c r="E998" s="11"/>
      <c r="F998" s="11"/>
      <c r="G998" s="11"/>
      <c r="H998" s="11"/>
      <c r="I998" s="11"/>
      <c r="J998" s="11"/>
      <c r="K998" s="11"/>
      <c r="L998" s="15"/>
      <c r="M998" s="15"/>
      <c r="N998" s="15"/>
      <c r="O998" s="15"/>
      <c r="P998" s="15"/>
      <c r="Q998" s="11"/>
      <c r="R998" s="11"/>
      <c r="S998" s="11"/>
      <c r="T998" s="11"/>
      <c r="U998" s="15"/>
      <c r="V998" s="11"/>
      <c r="W998" s="11"/>
      <c r="X998" s="11"/>
      <c r="Y998" s="11"/>
      <c r="Z998" s="11"/>
    </row>
    <row r="999">
      <c r="A999" s="18"/>
      <c r="B999" s="11"/>
      <c r="C999" s="11"/>
      <c r="D999" s="11"/>
      <c r="E999" s="11"/>
      <c r="F999" s="11"/>
      <c r="G999" s="11"/>
      <c r="H999" s="11"/>
      <c r="I999" s="11"/>
      <c r="J999" s="11"/>
      <c r="K999" s="11"/>
      <c r="L999" s="15"/>
      <c r="M999" s="15"/>
      <c r="N999" s="15"/>
      <c r="O999" s="15"/>
      <c r="P999" s="15"/>
      <c r="Q999" s="11"/>
      <c r="R999" s="11"/>
      <c r="S999" s="11"/>
      <c r="T999" s="11"/>
      <c r="U999" s="15"/>
      <c r="V999" s="11"/>
      <c r="W999" s="11"/>
      <c r="X999" s="11"/>
      <c r="Y999" s="11"/>
      <c r="Z999" s="11"/>
    </row>
    <row r="1000">
      <c r="A1000" s="18"/>
      <c r="B1000" s="11"/>
      <c r="C1000" s="11"/>
      <c r="D1000" s="11"/>
      <c r="E1000" s="11"/>
      <c r="F1000" s="11"/>
      <c r="G1000" s="11"/>
      <c r="H1000" s="11"/>
      <c r="I1000" s="11"/>
      <c r="J1000" s="11"/>
      <c r="K1000" s="11"/>
      <c r="L1000" s="15"/>
      <c r="M1000" s="15"/>
      <c r="N1000" s="15"/>
      <c r="O1000" s="15"/>
      <c r="P1000" s="15"/>
      <c r="Q1000" s="11"/>
      <c r="R1000" s="11"/>
      <c r="S1000" s="11"/>
      <c r="T1000" s="11"/>
      <c r="U1000" s="15"/>
      <c r="V1000" s="11"/>
      <c r="W1000" s="11"/>
      <c r="X1000" s="11"/>
      <c r="Y1000" s="11"/>
      <c r="Z1000" s="11"/>
    </row>
    <row r="1001">
      <c r="A1001" s="18"/>
      <c r="B1001" s="11"/>
      <c r="C1001" s="11"/>
      <c r="D1001" s="11"/>
      <c r="E1001" s="11"/>
      <c r="F1001" s="11"/>
      <c r="G1001" s="11"/>
      <c r="H1001" s="11"/>
      <c r="I1001" s="11"/>
      <c r="J1001" s="11"/>
      <c r="K1001" s="11"/>
      <c r="L1001" s="15"/>
      <c r="M1001" s="15"/>
      <c r="N1001" s="15"/>
      <c r="O1001" s="15"/>
      <c r="P1001" s="15"/>
      <c r="Q1001" s="11"/>
      <c r="R1001" s="11"/>
      <c r="S1001" s="11"/>
      <c r="T1001" s="11"/>
      <c r="U1001" s="15"/>
      <c r="V1001" s="11"/>
      <c r="W1001" s="11"/>
      <c r="X1001" s="11"/>
      <c r="Y1001" s="11"/>
      <c r="Z1001" s="11"/>
    </row>
    <row r="1002">
      <c r="A1002" s="18"/>
      <c r="B1002" s="11"/>
      <c r="C1002" s="11"/>
      <c r="D1002" s="11"/>
      <c r="E1002" s="11"/>
      <c r="F1002" s="11"/>
      <c r="G1002" s="11"/>
      <c r="H1002" s="11"/>
      <c r="I1002" s="11"/>
      <c r="J1002" s="11"/>
      <c r="K1002" s="11"/>
      <c r="L1002" s="15"/>
      <c r="M1002" s="15"/>
      <c r="N1002" s="15"/>
      <c r="O1002" s="15"/>
      <c r="P1002" s="15"/>
      <c r="Q1002" s="11"/>
      <c r="R1002" s="11"/>
      <c r="S1002" s="11"/>
      <c r="T1002" s="11"/>
      <c r="U1002" s="15"/>
      <c r="V1002" s="11"/>
      <c r="W1002" s="11"/>
      <c r="X1002" s="11"/>
      <c r="Y1002" s="11"/>
      <c r="Z1002" s="11"/>
    </row>
    <row r="1003">
      <c r="A1003" s="18"/>
      <c r="B1003" s="11"/>
      <c r="C1003" s="11"/>
      <c r="D1003" s="11"/>
      <c r="E1003" s="11"/>
      <c r="F1003" s="11"/>
      <c r="G1003" s="11"/>
      <c r="H1003" s="11"/>
      <c r="I1003" s="11"/>
      <c r="J1003" s="11"/>
      <c r="K1003" s="11"/>
      <c r="L1003" s="15"/>
      <c r="M1003" s="15"/>
      <c r="N1003" s="15"/>
      <c r="O1003" s="15"/>
      <c r="P1003" s="15"/>
      <c r="Q1003" s="11"/>
      <c r="R1003" s="11"/>
      <c r="S1003" s="11"/>
      <c r="T1003" s="11"/>
      <c r="U1003" s="15"/>
      <c r="V1003" s="11"/>
      <c r="W1003" s="11"/>
      <c r="X1003" s="11"/>
      <c r="Y1003" s="11"/>
      <c r="Z1003" s="11"/>
    </row>
    <row r="1004">
      <c r="A1004" s="18"/>
      <c r="B1004" s="11"/>
      <c r="C1004" s="11"/>
      <c r="D1004" s="11"/>
      <c r="E1004" s="11"/>
      <c r="F1004" s="11"/>
      <c r="G1004" s="11"/>
      <c r="H1004" s="11"/>
      <c r="I1004" s="11"/>
      <c r="J1004" s="11"/>
      <c r="K1004" s="11"/>
      <c r="L1004" s="15"/>
      <c r="M1004" s="15"/>
      <c r="N1004" s="15"/>
      <c r="O1004" s="15"/>
      <c r="P1004" s="15"/>
      <c r="Q1004" s="11"/>
      <c r="R1004" s="11"/>
      <c r="S1004" s="11"/>
      <c r="T1004" s="11"/>
      <c r="U1004" s="15"/>
      <c r="V1004" s="11"/>
      <c r="W1004" s="11"/>
      <c r="X1004" s="11"/>
      <c r="Y1004" s="11"/>
      <c r="Z1004" s="11"/>
    </row>
    <row r="1005">
      <c r="A1005" s="18"/>
      <c r="B1005" s="11"/>
      <c r="C1005" s="11"/>
      <c r="D1005" s="11"/>
      <c r="E1005" s="11"/>
      <c r="F1005" s="11"/>
      <c r="G1005" s="11"/>
      <c r="H1005" s="11"/>
      <c r="I1005" s="11"/>
      <c r="J1005" s="11"/>
      <c r="K1005" s="11"/>
      <c r="L1005" s="15"/>
      <c r="M1005" s="15"/>
      <c r="N1005" s="15"/>
      <c r="O1005" s="15"/>
      <c r="P1005" s="15"/>
      <c r="Q1005" s="11"/>
      <c r="R1005" s="11"/>
      <c r="S1005" s="11"/>
      <c r="T1005" s="11"/>
      <c r="U1005" s="15"/>
      <c r="V1005" s="11"/>
      <c r="W1005" s="11"/>
      <c r="X1005" s="11"/>
      <c r="Y1005" s="11"/>
      <c r="Z1005" s="11"/>
    </row>
    <row r="1006">
      <c r="A1006" s="18"/>
      <c r="B1006" s="11"/>
      <c r="C1006" s="11"/>
      <c r="D1006" s="11"/>
      <c r="E1006" s="11"/>
      <c r="F1006" s="11"/>
      <c r="G1006" s="11"/>
      <c r="H1006" s="11"/>
      <c r="I1006" s="11"/>
      <c r="J1006" s="11"/>
      <c r="K1006" s="11"/>
      <c r="L1006" s="15"/>
      <c r="M1006" s="15"/>
      <c r="N1006" s="15"/>
      <c r="O1006" s="15"/>
      <c r="P1006" s="15"/>
      <c r="Q1006" s="11"/>
      <c r="R1006" s="11"/>
      <c r="S1006" s="11"/>
      <c r="T1006" s="11"/>
      <c r="U1006" s="15"/>
      <c r="V1006" s="11"/>
      <c r="W1006" s="11"/>
      <c r="X1006" s="11"/>
      <c r="Y1006" s="11"/>
      <c r="Z1006" s="11"/>
    </row>
    <row r="1007">
      <c r="A1007" s="18"/>
      <c r="B1007" s="11"/>
      <c r="C1007" s="11"/>
      <c r="D1007" s="11"/>
      <c r="E1007" s="11"/>
      <c r="F1007" s="11"/>
      <c r="G1007" s="11"/>
      <c r="H1007" s="11"/>
      <c r="I1007" s="11"/>
      <c r="J1007" s="11"/>
      <c r="K1007" s="11"/>
      <c r="L1007" s="15"/>
      <c r="M1007" s="15"/>
      <c r="N1007" s="15"/>
      <c r="O1007" s="15"/>
      <c r="P1007" s="15"/>
      <c r="Q1007" s="11"/>
      <c r="R1007" s="11"/>
      <c r="S1007" s="11"/>
      <c r="T1007" s="11"/>
      <c r="U1007" s="15"/>
      <c r="V1007" s="11"/>
      <c r="W1007" s="11"/>
      <c r="X1007" s="11"/>
      <c r="Y1007" s="11"/>
      <c r="Z1007" s="11"/>
    </row>
    <row r="1008">
      <c r="A1008" s="18"/>
      <c r="B1008" s="11"/>
      <c r="C1008" s="11"/>
      <c r="D1008" s="11"/>
      <c r="E1008" s="11"/>
      <c r="F1008" s="11"/>
      <c r="G1008" s="11"/>
      <c r="H1008" s="11"/>
      <c r="I1008" s="11"/>
      <c r="J1008" s="11"/>
      <c r="K1008" s="11"/>
      <c r="L1008" s="15"/>
      <c r="M1008" s="15"/>
      <c r="N1008" s="15"/>
      <c r="O1008" s="15"/>
      <c r="P1008" s="15"/>
      <c r="Q1008" s="11"/>
      <c r="R1008" s="11"/>
      <c r="S1008" s="11"/>
      <c r="T1008" s="11"/>
      <c r="U1008" s="15"/>
      <c r="V1008" s="11"/>
      <c r="W1008" s="11"/>
      <c r="X1008" s="11"/>
      <c r="Y1008" s="11"/>
      <c r="Z1008" s="11"/>
    </row>
    <row r="1009">
      <c r="A1009" s="18"/>
      <c r="B1009" s="11"/>
      <c r="C1009" s="11"/>
      <c r="D1009" s="11"/>
      <c r="E1009" s="11"/>
      <c r="F1009" s="11"/>
      <c r="G1009" s="11"/>
      <c r="H1009" s="11"/>
      <c r="I1009" s="11"/>
      <c r="J1009" s="11"/>
      <c r="K1009" s="11"/>
      <c r="L1009" s="15"/>
      <c r="M1009" s="15"/>
      <c r="N1009" s="15"/>
      <c r="O1009" s="15"/>
      <c r="P1009" s="15"/>
      <c r="Q1009" s="11"/>
      <c r="R1009" s="11"/>
      <c r="S1009" s="11"/>
      <c r="T1009" s="11"/>
      <c r="U1009" s="15"/>
      <c r="V1009" s="11"/>
      <c r="W1009" s="11"/>
      <c r="X1009" s="11"/>
      <c r="Y1009" s="11"/>
      <c r="Z1009" s="11"/>
    </row>
    <row r="1010">
      <c r="A1010" s="18"/>
      <c r="B1010" s="11"/>
      <c r="C1010" s="11"/>
      <c r="D1010" s="11"/>
      <c r="E1010" s="11"/>
      <c r="F1010" s="11"/>
      <c r="G1010" s="11"/>
      <c r="H1010" s="11"/>
      <c r="I1010" s="11"/>
      <c r="J1010" s="11"/>
      <c r="K1010" s="11"/>
      <c r="L1010" s="15"/>
      <c r="M1010" s="15"/>
      <c r="N1010" s="15"/>
      <c r="O1010" s="15"/>
      <c r="P1010" s="15"/>
      <c r="Q1010" s="11"/>
      <c r="R1010" s="11"/>
      <c r="S1010" s="11"/>
      <c r="T1010" s="11"/>
      <c r="U1010" s="15"/>
      <c r="V1010" s="11"/>
      <c r="W1010" s="11"/>
      <c r="X1010" s="11"/>
      <c r="Y1010" s="11"/>
      <c r="Z1010" s="11"/>
    </row>
    <row r="1011">
      <c r="A1011" s="18"/>
      <c r="B1011" s="11"/>
      <c r="C1011" s="11"/>
      <c r="D1011" s="11"/>
      <c r="E1011" s="11"/>
      <c r="F1011" s="11"/>
      <c r="G1011" s="11"/>
      <c r="H1011" s="11"/>
      <c r="I1011" s="11"/>
      <c r="J1011" s="11"/>
      <c r="K1011" s="11"/>
      <c r="L1011" s="15"/>
      <c r="M1011" s="15"/>
      <c r="N1011" s="15"/>
      <c r="O1011" s="15"/>
      <c r="P1011" s="15"/>
      <c r="Q1011" s="11"/>
      <c r="R1011" s="11"/>
      <c r="S1011" s="11"/>
      <c r="T1011" s="11"/>
      <c r="U1011" s="15"/>
      <c r="V1011" s="11"/>
      <c r="W1011" s="11"/>
      <c r="X1011" s="11"/>
      <c r="Y1011" s="11"/>
      <c r="Z1011" s="11"/>
    </row>
    <row r="1012">
      <c r="A1012" s="18"/>
      <c r="B1012" s="11"/>
      <c r="C1012" s="11"/>
      <c r="D1012" s="11"/>
      <c r="E1012" s="11"/>
      <c r="F1012" s="11"/>
      <c r="G1012" s="11"/>
      <c r="H1012" s="11"/>
      <c r="I1012" s="11"/>
      <c r="J1012" s="11"/>
      <c r="K1012" s="11"/>
      <c r="L1012" s="15"/>
      <c r="M1012" s="15"/>
      <c r="N1012" s="15"/>
      <c r="O1012" s="15"/>
      <c r="P1012" s="15"/>
      <c r="Q1012" s="11"/>
      <c r="R1012" s="11"/>
      <c r="S1012" s="11"/>
      <c r="T1012" s="11"/>
      <c r="U1012" s="15"/>
      <c r="V1012" s="11"/>
      <c r="W1012" s="11"/>
      <c r="X1012" s="11"/>
      <c r="Y1012" s="11"/>
      <c r="Z1012" s="11"/>
    </row>
    <row r="1013">
      <c r="A1013" s="18"/>
      <c r="B1013" s="11"/>
      <c r="C1013" s="11"/>
      <c r="D1013" s="11"/>
      <c r="E1013" s="11"/>
      <c r="F1013" s="11"/>
      <c r="G1013" s="11"/>
      <c r="H1013" s="11"/>
      <c r="I1013" s="11"/>
      <c r="J1013" s="11"/>
      <c r="K1013" s="11"/>
      <c r="L1013" s="15"/>
      <c r="M1013" s="15"/>
      <c r="N1013" s="15"/>
      <c r="O1013" s="15"/>
      <c r="P1013" s="15"/>
      <c r="Q1013" s="11"/>
      <c r="R1013" s="11"/>
      <c r="S1013" s="11"/>
      <c r="T1013" s="11"/>
      <c r="U1013" s="15"/>
      <c r="V1013" s="11"/>
      <c r="W1013" s="11"/>
      <c r="X1013" s="11"/>
      <c r="Y1013" s="11"/>
      <c r="Z1013" s="11"/>
    </row>
    <row r="1014">
      <c r="A1014" s="18"/>
      <c r="B1014" s="11"/>
      <c r="C1014" s="11"/>
      <c r="D1014" s="11"/>
      <c r="E1014" s="11"/>
      <c r="F1014" s="11"/>
      <c r="G1014" s="11"/>
      <c r="H1014" s="11"/>
      <c r="I1014" s="11"/>
      <c r="J1014" s="11"/>
      <c r="K1014" s="11"/>
      <c r="L1014" s="15"/>
      <c r="M1014" s="15"/>
      <c r="N1014" s="15"/>
      <c r="O1014" s="15"/>
      <c r="P1014" s="15"/>
      <c r="Q1014" s="11"/>
      <c r="R1014" s="11"/>
      <c r="S1014" s="11"/>
      <c r="T1014" s="11"/>
      <c r="U1014" s="15"/>
      <c r="V1014" s="11"/>
      <c r="W1014" s="11"/>
      <c r="X1014" s="11"/>
      <c r="Y1014" s="11"/>
      <c r="Z1014" s="11"/>
    </row>
    <row r="1015">
      <c r="A1015" s="18"/>
      <c r="B1015" s="11"/>
      <c r="C1015" s="11"/>
      <c r="D1015" s="11"/>
      <c r="E1015" s="11"/>
      <c r="F1015" s="11"/>
      <c r="G1015" s="11"/>
      <c r="H1015" s="11"/>
      <c r="I1015" s="11"/>
      <c r="J1015" s="11"/>
      <c r="K1015" s="11"/>
      <c r="L1015" s="15"/>
      <c r="M1015" s="15"/>
      <c r="N1015" s="15"/>
      <c r="O1015" s="15"/>
      <c r="P1015" s="15"/>
      <c r="Q1015" s="11"/>
      <c r="R1015" s="11"/>
      <c r="S1015" s="11"/>
      <c r="T1015" s="11"/>
      <c r="U1015" s="15"/>
      <c r="V1015" s="11"/>
      <c r="W1015" s="11"/>
      <c r="X1015" s="11"/>
      <c r="Y1015" s="11"/>
      <c r="Z1015" s="11"/>
    </row>
    <row r="1016">
      <c r="A1016" s="18"/>
      <c r="B1016" s="11"/>
      <c r="C1016" s="11"/>
      <c r="D1016" s="11"/>
      <c r="E1016" s="11"/>
      <c r="F1016" s="11"/>
      <c r="G1016" s="11"/>
      <c r="H1016" s="11"/>
      <c r="I1016" s="11"/>
      <c r="J1016" s="11"/>
      <c r="K1016" s="11"/>
      <c r="L1016" s="15"/>
      <c r="M1016" s="15"/>
      <c r="N1016" s="15"/>
      <c r="O1016" s="15"/>
      <c r="P1016" s="15"/>
      <c r="Q1016" s="11"/>
      <c r="R1016" s="11"/>
      <c r="S1016" s="11"/>
      <c r="T1016" s="11"/>
      <c r="U1016" s="15"/>
      <c r="V1016" s="11"/>
      <c r="W1016" s="11"/>
      <c r="X1016" s="11"/>
      <c r="Y1016" s="11"/>
      <c r="Z1016" s="11"/>
    </row>
    <row r="1017">
      <c r="A1017" s="18"/>
      <c r="B1017" s="11"/>
      <c r="C1017" s="11"/>
      <c r="D1017" s="11"/>
      <c r="E1017" s="11"/>
      <c r="F1017" s="11"/>
      <c r="G1017" s="11"/>
      <c r="H1017" s="11"/>
      <c r="I1017" s="11"/>
      <c r="J1017" s="11"/>
      <c r="K1017" s="11"/>
      <c r="L1017" s="15"/>
      <c r="M1017" s="15"/>
      <c r="N1017" s="15"/>
      <c r="O1017" s="15"/>
      <c r="P1017" s="15"/>
      <c r="Q1017" s="11"/>
      <c r="R1017" s="11"/>
      <c r="S1017" s="11"/>
      <c r="T1017" s="11"/>
      <c r="U1017" s="15"/>
      <c r="V1017" s="11"/>
      <c r="W1017" s="11"/>
      <c r="X1017" s="11"/>
      <c r="Y1017" s="11"/>
      <c r="Z1017" s="11"/>
    </row>
    <row r="1018">
      <c r="A1018" s="18"/>
      <c r="B1018" s="11"/>
      <c r="C1018" s="11"/>
      <c r="D1018" s="11"/>
      <c r="E1018" s="11"/>
      <c r="F1018" s="11"/>
      <c r="G1018" s="11"/>
      <c r="H1018" s="11"/>
      <c r="I1018" s="11"/>
      <c r="J1018" s="11"/>
      <c r="K1018" s="11"/>
      <c r="L1018" s="15"/>
      <c r="M1018" s="15"/>
      <c r="N1018" s="15"/>
      <c r="O1018" s="15"/>
      <c r="P1018" s="15"/>
      <c r="Q1018" s="11"/>
      <c r="R1018" s="11"/>
      <c r="S1018" s="11"/>
      <c r="T1018" s="11"/>
      <c r="U1018" s="15"/>
      <c r="V1018" s="11"/>
      <c r="W1018" s="11"/>
      <c r="X1018" s="11"/>
      <c r="Y1018" s="11"/>
      <c r="Z1018" s="11"/>
    </row>
    <row r="1019">
      <c r="A1019" s="18"/>
      <c r="B1019" s="11"/>
      <c r="C1019" s="11"/>
      <c r="D1019" s="11"/>
      <c r="E1019" s="11"/>
      <c r="F1019" s="11"/>
      <c r="G1019" s="11"/>
      <c r="H1019" s="11"/>
      <c r="I1019" s="11"/>
      <c r="J1019" s="11"/>
      <c r="K1019" s="11"/>
      <c r="L1019" s="15"/>
      <c r="M1019" s="15"/>
      <c r="N1019" s="15"/>
      <c r="O1019" s="15"/>
      <c r="P1019" s="15"/>
      <c r="Q1019" s="11"/>
      <c r="R1019" s="11"/>
      <c r="S1019" s="11"/>
      <c r="T1019" s="11"/>
      <c r="U1019" s="15"/>
      <c r="V1019" s="11"/>
      <c r="W1019" s="11"/>
      <c r="X1019" s="11"/>
      <c r="Y1019" s="11"/>
      <c r="Z1019" s="11"/>
    </row>
    <row r="1020">
      <c r="A1020" s="18"/>
      <c r="B1020" s="11"/>
      <c r="C1020" s="11"/>
      <c r="D1020" s="11"/>
      <c r="E1020" s="11"/>
      <c r="F1020" s="11"/>
      <c r="G1020" s="11"/>
      <c r="H1020" s="11"/>
      <c r="I1020" s="11"/>
      <c r="J1020" s="11"/>
      <c r="K1020" s="11"/>
      <c r="L1020" s="15"/>
      <c r="M1020" s="15"/>
      <c r="N1020" s="15"/>
      <c r="O1020" s="15"/>
      <c r="P1020" s="15"/>
      <c r="Q1020" s="11"/>
      <c r="R1020" s="11"/>
      <c r="S1020" s="11"/>
      <c r="T1020" s="11"/>
      <c r="U1020" s="15"/>
      <c r="V1020" s="11"/>
      <c r="W1020" s="11"/>
      <c r="X1020" s="11"/>
      <c r="Y1020" s="11"/>
      <c r="Z1020" s="11"/>
    </row>
    <row r="1021">
      <c r="A1021" s="18"/>
      <c r="B1021" s="11"/>
      <c r="C1021" s="11"/>
      <c r="D1021" s="11"/>
      <c r="E1021" s="11"/>
      <c r="F1021" s="11"/>
      <c r="G1021" s="11"/>
      <c r="H1021" s="11"/>
      <c r="I1021" s="11"/>
      <c r="J1021" s="11"/>
      <c r="K1021" s="11"/>
      <c r="L1021" s="15"/>
      <c r="M1021" s="15"/>
      <c r="N1021" s="15"/>
      <c r="O1021" s="15"/>
      <c r="P1021" s="15"/>
      <c r="Q1021" s="11"/>
      <c r="R1021" s="11"/>
      <c r="S1021" s="11"/>
      <c r="T1021" s="11"/>
      <c r="U1021" s="15"/>
      <c r="V1021" s="11"/>
      <c r="W1021" s="11"/>
      <c r="X1021" s="11"/>
      <c r="Y1021" s="11"/>
      <c r="Z1021" s="11"/>
    </row>
    <row r="1022">
      <c r="A1022" s="18"/>
      <c r="B1022" s="11"/>
      <c r="C1022" s="11"/>
      <c r="D1022" s="11"/>
      <c r="E1022" s="11"/>
      <c r="F1022" s="11"/>
      <c r="G1022" s="11"/>
      <c r="H1022" s="11"/>
      <c r="I1022" s="11"/>
      <c r="J1022" s="11"/>
      <c r="K1022" s="11"/>
      <c r="L1022" s="15"/>
      <c r="M1022" s="15"/>
      <c r="N1022" s="15"/>
      <c r="O1022" s="15"/>
      <c r="P1022" s="15"/>
      <c r="Q1022" s="11"/>
      <c r="R1022" s="11"/>
      <c r="S1022" s="11"/>
      <c r="T1022" s="11"/>
      <c r="U1022" s="15"/>
      <c r="V1022" s="11"/>
      <c r="W1022" s="11"/>
      <c r="X1022" s="11"/>
      <c r="Y1022" s="11"/>
      <c r="Z1022" s="11"/>
    </row>
    <row r="1023">
      <c r="A1023" s="18"/>
      <c r="B1023" s="11"/>
      <c r="C1023" s="11"/>
      <c r="D1023" s="11"/>
      <c r="E1023" s="11"/>
      <c r="F1023" s="11"/>
      <c r="G1023" s="11"/>
      <c r="H1023" s="11"/>
      <c r="I1023" s="11"/>
      <c r="J1023" s="11"/>
      <c r="K1023" s="11"/>
      <c r="L1023" s="15"/>
      <c r="M1023" s="15"/>
      <c r="N1023" s="15"/>
      <c r="O1023" s="15"/>
      <c r="P1023" s="15"/>
      <c r="Q1023" s="11"/>
      <c r="R1023" s="11"/>
      <c r="S1023" s="11"/>
      <c r="T1023" s="11"/>
      <c r="U1023" s="15"/>
      <c r="V1023" s="11"/>
      <c r="W1023" s="11"/>
      <c r="X1023" s="11"/>
      <c r="Y1023" s="11"/>
      <c r="Z1023" s="11"/>
    </row>
    <row r="1024">
      <c r="A1024" s="18"/>
      <c r="B1024" s="11"/>
      <c r="C1024" s="11"/>
      <c r="D1024" s="11"/>
      <c r="E1024" s="11"/>
      <c r="F1024" s="11"/>
      <c r="G1024" s="11"/>
      <c r="H1024" s="11"/>
      <c r="I1024" s="11"/>
      <c r="J1024" s="11"/>
      <c r="K1024" s="11"/>
      <c r="L1024" s="15"/>
      <c r="M1024" s="15"/>
      <c r="N1024" s="15"/>
      <c r="O1024" s="15"/>
      <c r="P1024" s="15"/>
      <c r="Q1024" s="11"/>
      <c r="R1024" s="11"/>
      <c r="S1024" s="11"/>
      <c r="T1024" s="11"/>
      <c r="U1024" s="15"/>
      <c r="V1024" s="11"/>
      <c r="W1024" s="11"/>
      <c r="X1024" s="11"/>
      <c r="Y1024" s="11"/>
      <c r="Z1024" s="11"/>
    </row>
    <row r="1025">
      <c r="A1025" s="18"/>
      <c r="B1025" s="11"/>
      <c r="C1025" s="11"/>
      <c r="D1025" s="11"/>
      <c r="E1025" s="11"/>
      <c r="F1025" s="11"/>
      <c r="G1025" s="11"/>
      <c r="H1025" s="11"/>
      <c r="I1025" s="11"/>
      <c r="J1025" s="11"/>
      <c r="K1025" s="11"/>
      <c r="L1025" s="15"/>
      <c r="M1025" s="15"/>
      <c r="N1025" s="15"/>
      <c r="O1025" s="15"/>
      <c r="P1025" s="15"/>
      <c r="Q1025" s="11"/>
      <c r="R1025" s="11"/>
      <c r="S1025" s="11"/>
      <c r="T1025" s="11"/>
      <c r="U1025" s="15"/>
      <c r="V1025" s="11"/>
      <c r="W1025" s="11"/>
      <c r="X1025" s="11"/>
      <c r="Y1025" s="11"/>
      <c r="Z1025" s="11"/>
    </row>
    <row r="1026">
      <c r="A1026" s="18"/>
      <c r="B1026" s="11"/>
      <c r="C1026" s="11"/>
      <c r="D1026" s="11"/>
      <c r="E1026" s="11"/>
      <c r="F1026" s="11"/>
      <c r="G1026" s="11"/>
      <c r="H1026" s="11"/>
      <c r="I1026" s="11"/>
      <c r="J1026" s="11"/>
      <c r="K1026" s="11"/>
      <c r="L1026" s="15"/>
      <c r="M1026" s="15"/>
      <c r="N1026" s="15"/>
      <c r="O1026" s="15"/>
      <c r="P1026" s="15"/>
      <c r="Q1026" s="11"/>
      <c r="R1026" s="11"/>
      <c r="S1026" s="11"/>
      <c r="T1026" s="11"/>
      <c r="U1026" s="15"/>
      <c r="V1026" s="11"/>
      <c r="W1026" s="11"/>
      <c r="X1026" s="11"/>
      <c r="Y1026" s="11"/>
      <c r="Z1026" s="11"/>
    </row>
    <row r="1027">
      <c r="A1027" s="18"/>
      <c r="B1027" s="11"/>
      <c r="C1027" s="11"/>
      <c r="D1027" s="11"/>
      <c r="E1027" s="11"/>
      <c r="F1027" s="11"/>
      <c r="G1027" s="11"/>
      <c r="H1027" s="11"/>
      <c r="I1027" s="11"/>
      <c r="J1027" s="11"/>
      <c r="K1027" s="11"/>
      <c r="L1027" s="15"/>
      <c r="M1027" s="15"/>
      <c r="N1027" s="15"/>
      <c r="O1027" s="15"/>
      <c r="P1027" s="15"/>
      <c r="Q1027" s="11"/>
      <c r="R1027" s="11"/>
      <c r="S1027" s="11"/>
      <c r="T1027" s="11"/>
      <c r="U1027" s="15"/>
      <c r="V1027" s="11"/>
      <c r="W1027" s="11"/>
      <c r="X1027" s="11"/>
      <c r="Y1027" s="11"/>
      <c r="Z1027" s="11"/>
    </row>
    <row r="1028">
      <c r="A1028" s="18"/>
      <c r="B1028" s="11"/>
      <c r="C1028" s="11"/>
      <c r="D1028" s="11"/>
      <c r="E1028" s="11"/>
      <c r="F1028" s="11"/>
      <c r="G1028" s="11"/>
      <c r="H1028" s="11"/>
      <c r="I1028" s="11"/>
      <c r="J1028" s="11"/>
      <c r="K1028" s="11"/>
      <c r="L1028" s="15"/>
      <c r="M1028" s="15"/>
      <c r="N1028" s="15"/>
      <c r="O1028" s="15"/>
      <c r="P1028" s="15"/>
      <c r="Q1028" s="11"/>
      <c r="R1028" s="11"/>
      <c r="S1028" s="11"/>
      <c r="T1028" s="11"/>
      <c r="U1028" s="15"/>
      <c r="V1028" s="11"/>
      <c r="W1028" s="11"/>
      <c r="X1028" s="11"/>
      <c r="Y1028" s="11"/>
      <c r="Z1028" s="11"/>
    </row>
    <row r="1029">
      <c r="A1029" s="18"/>
      <c r="B1029" s="11"/>
      <c r="C1029" s="11"/>
      <c r="D1029" s="11"/>
      <c r="E1029" s="11"/>
      <c r="F1029" s="11"/>
      <c r="G1029" s="11"/>
      <c r="H1029" s="11"/>
      <c r="I1029" s="11"/>
      <c r="J1029" s="11"/>
      <c r="K1029" s="11"/>
      <c r="L1029" s="15"/>
      <c r="M1029" s="15"/>
      <c r="N1029" s="15"/>
      <c r="O1029" s="15"/>
      <c r="P1029" s="15"/>
      <c r="Q1029" s="11"/>
      <c r="R1029" s="11"/>
      <c r="S1029" s="11"/>
      <c r="T1029" s="11"/>
      <c r="U1029" s="15"/>
      <c r="V1029" s="11"/>
      <c r="W1029" s="11"/>
      <c r="X1029" s="11"/>
      <c r="Y1029" s="11"/>
      <c r="Z1029" s="11"/>
    </row>
    <row r="1030">
      <c r="A1030" s="18"/>
      <c r="B1030" s="11"/>
      <c r="C1030" s="11"/>
      <c r="D1030" s="11"/>
      <c r="E1030" s="11"/>
      <c r="F1030" s="11"/>
      <c r="G1030" s="11"/>
      <c r="H1030" s="11"/>
      <c r="I1030" s="11"/>
      <c r="J1030" s="11"/>
      <c r="K1030" s="11"/>
      <c r="L1030" s="15"/>
      <c r="M1030" s="15"/>
      <c r="N1030" s="15"/>
      <c r="O1030" s="15"/>
      <c r="P1030" s="15"/>
      <c r="Q1030" s="11"/>
      <c r="R1030" s="11"/>
      <c r="S1030" s="11"/>
      <c r="T1030" s="11"/>
      <c r="U1030" s="15"/>
      <c r="V1030" s="11"/>
      <c r="W1030" s="11"/>
      <c r="X1030" s="11"/>
      <c r="Y1030" s="11"/>
      <c r="Z1030" s="11"/>
    </row>
    <row r="1031">
      <c r="A1031" s="18"/>
      <c r="B1031" s="11"/>
      <c r="C1031" s="11"/>
      <c r="D1031" s="11"/>
      <c r="E1031" s="11"/>
      <c r="F1031" s="11"/>
      <c r="G1031" s="11"/>
      <c r="H1031" s="11"/>
      <c r="I1031" s="11"/>
      <c r="J1031" s="11"/>
      <c r="K1031" s="11"/>
      <c r="L1031" s="15"/>
      <c r="M1031" s="15"/>
      <c r="N1031" s="15"/>
      <c r="O1031" s="15"/>
      <c r="P1031" s="15"/>
      <c r="Q1031" s="11"/>
      <c r="R1031" s="11"/>
      <c r="S1031" s="11"/>
      <c r="T1031" s="11"/>
      <c r="U1031" s="15"/>
      <c r="V1031" s="11"/>
      <c r="W1031" s="11"/>
      <c r="X1031" s="11"/>
      <c r="Y1031" s="11"/>
      <c r="Z1031" s="11"/>
    </row>
    <row r="1032">
      <c r="A1032" s="18"/>
      <c r="B1032" s="11"/>
      <c r="C1032" s="11"/>
      <c r="D1032" s="11"/>
      <c r="E1032" s="11"/>
      <c r="F1032" s="11"/>
      <c r="G1032" s="11"/>
      <c r="H1032" s="11"/>
      <c r="I1032" s="11"/>
      <c r="J1032" s="11"/>
      <c r="K1032" s="11"/>
      <c r="L1032" s="15"/>
      <c r="M1032" s="15"/>
      <c r="N1032" s="15"/>
      <c r="O1032" s="15"/>
      <c r="P1032" s="15"/>
      <c r="Q1032" s="11"/>
      <c r="R1032" s="11"/>
      <c r="S1032" s="11"/>
      <c r="T1032" s="11"/>
      <c r="U1032" s="15"/>
      <c r="V1032" s="11"/>
      <c r="W1032" s="11"/>
      <c r="X1032" s="11"/>
      <c r="Y1032" s="11"/>
      <c r="Z1032" s="11"/>
    </row>
    <row r="1033">
      <c r="A1033" s="18"/>
      <c r="B1033" s="11"/>
      <c r="C1033" s="11"/>
      <c r="D1033" s="11"/>
      <c r="E1033" s="11"/>
      <c r="F1033" s="11"/>
      <c r="G1033" s="11"/>
      <c r="H1033" s="11"/>
      <c r="I1033" s="11"/>
      <c r="J1033" s="11"/>
      <c r="K1033" s="11"/>
      <c r="L1033" s="15"/>
      <c r="M1033" s="15"/>
      <c r="N1033" s="15"/>
      <c r="O1033" s="15"/>
      <c r="P1033" s="15"/>
      <c r="Q1033" s="11"/>
      <c r="R1033" s="11"/>
      <c r="S1033" s="11"/>
      <c r="T1033" s="11"/>
      <c r="U1033" s="15"/>
      <c r="V1033" s="11"/>
      <c r="W1033" s="11"/>
      <c r="X1033" s="11"/>
      <c r="Y1033" s="11"/>
      <c r="Z1033" s="11"/>
    </row>
    <row r="1034">
      <c r="A1034" s="18"/>
      <c r="B1034" s="11"/>
      <c r="C1034" s="11"/>
      <c r="D1034" s="11"/>
      <c r="E1034" s="11"/>
      <c r="F1034" s="11"/>
      <c r="G1034" s="11"/>
      <c r="H1034" s="11"/>
      <c r="I1034" s="11"/>
      <c r="J1034" s="11"/>
      <c r="K1034" s="11"/>
      <c r="L1034" s="15"/>
      <c r="M1034" s="15"/>
      <c r="N1034" s="15"/>
      <c r="O1034" s="15"/>
      <c r="P1034" s="15"/>
      <c r="Q1034" s="11"/>
      <c r="R1034" s="11"/>
      <c r="S1034" s="11"/>
      <c r="T1034" s="11"/>
      <c r="U1034" s="15"/>
      <c r="V1034" s="11"/>
      <c r="W1034" s="11"/>
      <c r="X1034" s="11"/>
      <c r="Y1034" s="11"/>
      <c r="Z1034" s="11"/>
    </row>
    <row r="1035">
      <c r="A1035" s="18"/>
      <c r="B1035" s="11"/>
      <c r="C1035" s="11"/>
      <c r="D1035" s="11"/>
      <c r="E1035" s="11"/>
      <c r="F1035" s="11"/>
      <c r="G1035" s="11"/>
      <c r="H1035" s="11"/>
      <c r="I1035" s="11"/>
      <c r="J1035" s="11"/>
      <c r="K1035" s="11"/>
      <c r="L1035" s="15"/>
      <c r="M1035" s="15"/>
      <c r="N1035" s="15"/>
      <c r="O1035" s="15"/>
      <c r="P1035" s="15"/>
      <c r="Q1035" s="11"/>
      <c r="R1035" s="11"/>
      <c r="S1035" s="11"/>
      <c r="T1035" s="11"/>
      <c r="U1035" s="15"/>
      <c r="V1035" s="11"/>
      <c r="W1035" s="11"/>
      <c r="X1035" s="11"/>
      <c r="Y1035" s="11"/>
      <c r="Z1035" s="11"/>
    </row>
    <row r="1036">
      <c r="A1036" s="18"/>
      <c r="B1036" s="11"/>
      <c r="C1036" s="11"/>
      <c r="D1036" s="11"/>
      <c r="E1036" s="11"/>
      <c r="F1036" s="11"/>
      <c r="G1036" s="11"/>
      <c r="H1036" s="11"/>
      <c r="I1036" s="11"/>
      <c r="J1036" s="11"/>
      <c r="K1036" s="11"/>
      <c r="L1036" s="15"/>
      <c r="M1036" s="15"/>
      <c r="N1036" s="15"/>
      <c r="O1036" s="15"/>
      <c r="P1036" s="15"/>
      <c r="Q1036" s="11"/>
      <c r="R1036" s="11"/>
      <c r="S1036" s="11"/>
      <c r="T1036" s="11"/>
      <c r="U1036" s="15"/>
      <c r="V1036" s="11"/>
      <c r="W1036" s="11"/>
      <c r="X1036" s="11"/>
      <c r="Y1036" s="11"/>
      <c r="Z1036" s="11"/>
    </row>
    <row r="1037">
      <c r="A1037" s="18"/>
      <c r="B1037" s="11"/>
      <c r="C1037" s="11"/>
      <c r="D1037" s="11"/>
      <c r="E1037" s="11"/>
      <c r="F1037" s="11"/>
      <c r="G1037" s="11"/>
      <c r="H1037" s="11"/>
      <c r="I1037" s="11"/>
      <c r="J1037" s="11"/>
      <c r="K1037" s="11"/>
      <c r="L1037" s="15"/>
      <c r="M1037" s="15"/>
      <c r="N1037" s="15"/>
      <c r="O1037" s="15"/>
      <c r="P1037" s="15"/>
      <c r="Q1037" s="11"/>
      <c r="R1037" s="11"/>
      <c r="S1037" s="11"/>
      <c r="T1037" s="11"/>
      <c r="U1037" s="15"/>
      <c r="V1037" s="11"/>
      <c r="W1037" s="11"/>
      <c r="X1037" s="11"/>
      <c r="Y1037" s="11"/>
      <c r="Z1037" s="11"/>
    </row>
    <row r="1038">
      <c r="A1038" s="18"/>
      <c r="B1038" s="11"/>
      <c r="C1038" s="11"/>
      <c r="D1038" s="11"/>
      <c r="E1038" s="11"/>
      <c r="F1038" s="11"/>
      <c r="G1038" s="11"/>
      <c r="H1038" s="11"/>
      <c r="I1038" s="11"/>
      <c r="J1038" s="11"/>
      <c r="K1038" s="11"/>
      <c r="L1038" s="15"/>
      <c r="M1038" s="15"/>
      <c r="N1038" s="15"/>
      <c r="O1038" s="15"/>
      <c r="P1038" s="15"/>
      <c r="Q1038" s="11"/>
      <c r="R1038" s="11"/>
      <c r="S1038" s="11"/>
      <c r="T1038" s="11"/>
      <c r="U1038" s="15"/>
      <c r="V1038" s="11"/>
      <c r="W1038" s="11"/>
      <c r="X1038" s="11"/>
      <c r="Y1038" s="11"/>
      <c r="Z1038" s="11"/>
    </row>
    <row r="1039">
      <c r="A1039" s="18"/>
      <c r="B1039" s="11"/>
      <c r="C1039" s="11"/>
      <c r="D1039" s="11"/>
      <c r="E1039" s="11"/>
      <c r="F1039" s="11"/>
      <c r="G1039" s="11"/>
      <c r="H1039" s="11"/>
      <c r="I1039" s="11"/>
      <c r="J1039" s="11"/>
      <c r="K1039" s="11"/>
      <c r="L1039" s="15"/>
      <c r="M1039" s="15"/>
      <c r="N1039" s="15"/>
      <c r="O1039" s="15"/>
      <c r="P1039" s="15"/>
      <c r="Q1039" s="11"/>
      <c r="R1039" s="11"/>
      <c r="S1039" s="11"/>
      <c r="T1039" s="11"/>
      <c r="U1039" s="15"/>
      <c r="V1039" s="11"/>
      <c r="W1039" s="11"/>
      <c r="X1039" s="11"/>
      <c r="Y1039" s="11"/>
      <c r="Z1039" s="11"/>
    </row>
    <row r="1040">
      <c r="A1040" s="18"/>
      <c r="B1040" s="11"/>
      <c r="C1040" s="11"/>
      <c r="D1040" s="11"/>
      <c r="E1040" s="11"/>
      <c r="F1040" s="11"/>
      <c r="G1040" s="11"/>
      <c r="H1040" s="11"/>
      <c r="I1040" s="11"/>
      <c r="J1040" s="11"/>
      <c r="K1040" s="11"/>
      <c r="L1040" s="15"/>
      <c r="M1040" s="15"/>
      <c r="N1040" s="15"/>
      <c r="O1040" s="15"/>
      <c r="P1040" s="15"/>
      <c r="Q1040" s="11"/>
      <c r="R1040" s="11"/>
      <c r="S1040" s="11"/>
      <c r="T1040" s="11"/>
      <c r="U1040" s="15"/>
      <c r="V1040" s="11"/>
      <c r="W1040" s="11"/>
      <c r="X1040" s="11"/>
      <c r="Y1040" s="11"/>
      <c r="Z1040" s="11"/>
    </row>
    <row r="1041">
      <c r="A1041" s="18"/>
      <c r="B1041" s="11"/>
      <c r="C1041" s="11"/>
      <c r="D1041" s="11"/>
      <c r="E1041" s="11"/>
      <c r="F1041" s="11"/>
      <c r="G1041" s="11"/>
      <c r="H1041" s="11"/>
      <c r="I1041" s="11"/>
      <c r="J1041" s="11"/>
      <c r="K1041" s="11"/>
      <c r="L1041" s="15"/>
      <c r="M1041" s="15"/>
      <c r="N1041" s="15"/>
      <c r="O1041" s="15"/>
      <c r="P1041" s="15"/>
      <c r="Q1041" s="11"/>
      <c r="R1041" s="11"/>
      <c r="S1041" s="11"/>
      <c r="T1041" s="11"/>
      <c r="U1041" s="15"/>
      <c r="V1041" s="11"/>
      <c r="W1041" s="11"/>
      <c r="X1041" s="11"/>
      <c r="Y1041" s="11"/>
      <c r="Z1041" s="11"/>
    </row>
    <row r="1042">
      <c r="A1042" s="18"/>
      <c r="B1042" s="11"/>
      <c r="C1042" s="11"/>
      <c r="D1042" s="11"/>
      <c r="E1042" s="11"/>
      <c r="F1042" s="11"/>
      <c r="G1042" s="11"/>
      <c r="H1042" s="11"/>
      <c r="I1042" s="11"/>
      <c r="J1042" s="11"/>
      <c r="K1042" s="11"/>
      <c r="L1042" s="15"/>
      <c r="M1042" s="15"/>
      <c r="N1042" s="15"/>
      <c r="O1042" s="15"/>
      <c r="P1042" s="15"/>
      <c r="Q1042" s="11"/>
      <c r="R1042" s="11"/>
      <c r="S1042" s="11"/>
      <c r="T1042" s="11"/>
      <c r="U1042" s="15"/>
      <c r="V1042" s="11"/>
      <c r="W1042" s="11"/>
      <c r="X1042" s="11"/>
      <c r="Y1042" s="11"/>
      <c r="Z1042" s="11"/>
    </row>
    <row r="1043">
      <c r="A1043" s="18"/>
      <c r="B1043" s="11"/>
      <c r="C1043" s="11"/>
      <c r="D1043" s="11"/>
      <c r="E1043" s="11"/>
      <c r="F1043" s="11"/>
      <c r="G1043" s="11"/>
      <c r="H1043" s="11"/>
      <c r="I1043" s="11"/>
      <c r="J1043" s="11"/>
      <c r="K1043" s="11"/>
      <c r="L1043" s="15"/>
      <c r="M1043" s="15"/>
      <c r="N1043" s="15"/>
      <c r="O1043" s="15"/>
      <c r="P1043" s="15"/>
      <c r="Q1043" s="11"/>
      <c r="R1043" s="11"/>
      <c r="S1043" s="11"/>
      <c r="T1043" s="11"/>
      <c r="U1043" s="15"/>
      <c r="V1043" s="11"/>
      <c r="W1043" s="11"/>
      <c r="X1043" s="11"/>
      <c r="Y1043" s="11"/>
      <c r="Z1043" s="11"/>
    </row>
    <row r="1044">
      <c r="A1044" s="18"/>
      <c r="B1044" s="11"/>
      <c r="C1044" s="11"/>
      <c r="D1044" s="11"/>
      <c r="E1044" s="11"/>
      <c r="F1044" s="11"/>
      <c r="G1044" s="11"/>
      <c r="H1044" s="11"/>
      <c r="I1044" s="11"/>
      <c r="J1044" s="11"/>
      <c r="K1044" s="11"/>
      <c r="L1044" s="15"/>
      <c r="M1044" s="15"/>
      <c r="N1044" s="15"/>
      <c r="O1044" s="15"/>
      <c r="P1044" s="15"/>
      <c r="Q1044" s="11"/>
      <c r="R1044" s="11"/>
      <c r="S1044" s="11"/>
      <c r="T1044" s="11"/>
      <c r="U1044" s="15"/>
      <c r="V1044" s="11"/>
      <c r="W1044" s="11"/>
      <c r="X1044" s="11"/>
      <c r="Y1044" s="11"/>
      <c r="Z1044" s="11"/>
    </row>
    <row r="1045">
      <c r="A1045" s="18"/>
      <c r="B1045" s="11"/>
      <c r="C1045" s="11"/>
      <c r="D1045" s="11"/>
      <c r="E1045" s="11"/>
      <c r="F1045" s="11"/>
      <c r="G1045" s="11"/>
      <c r="H1045" s="11"/>
      <c r="I1045" s="11"/>
      <c r="J1045" s="11"/>
      <c r="K1045" s="11"/>
      <c r="L1045" s="15"/>
      <c r="M1045" s="15"/>
      <c r="N1045" s="15"/>
      <c r="O1045" s="15"/>
      <c r="P1045" s="15"/>
      <c r="Q1045" s="11"/>
      <c r="R1045" s="11"/>
      <c r="S1045" s="11"/>
      <c r="T1045" s="11"/>
      <c r="U1045" s="15"/>
      <c r="V1045" s="11"/>
      <c r="W1045" s="11"/>
      <c r="X1045" s="11"/>
      <c r="Y1045" s="11"/>
      <c r="Z1045" s="11"/>
    </row>
    <row r="1046">
      <c r="A1046" s="18"/>
      <c r="B1046" s="11"/>
      <c r="C1046" s="11"/>
      <c r="D1046" s="11"/>
      <c r="E1046" s="11"/>
      <c r="F1046" s="11"/>
      <c r="G1046" s="11"/>
      <c r="H1046" s="11"/>
      <c r="I1046" s="11"/>
      <c r="J1046" s="11"/>
      <c r="K1046" s="11"/>
      <c r="L1046" s="15"/>
      <c r="M1046" s="15"/>
      <c r="N1046" s="15"/>
      <c r="O1046" s="15"/>
      <c r="P1046" s="15"/>
      <c r="Q1046" s="11"/>
      <c r="R1046" s="11"/>
      <c r="S1046" s="11"/>
      <c r="T1046" s="11"/>
      <c r="U1046" s="15"/>
      <c r="V1046" s="11"/>
      <c r="W1046" s="11"/>
      <c r="X1046" s="11"/>
      <c r="Y1046" s="11"/>
      <c r="Z1046" s="11"/>
    </row>
    <row r="1047">
      <c r="A1047" s="18"/>
      <c r="B1047" s="11"/>
      <c r="C1047" s="11"/>
      <c r="D1047" s="11"/>
      <c r="E1047" s="11"/>
      <c r="F1047" s="11"/>
      <c r="G1047" s="11"/>
      <c r="H1047" s="11"/>
      <c r="I1047" s="11"/>
      <c r="J1047" s="11"/>
      <c r="K1047" s="11"/>
      <c r="L1047" s="15"/>
      <c r="M1047" s="15"/>
      <c r="N1047" s="15"/>
      <c r="O1047" s="15"/>
      <c r="P1047" s="15"/>
      <c r="Q1047" s="11"/>
      <c r="R1047" s="11"/>
      <c r="S1047" s="11"/>
      <c r="T1047" s="11"/>
      <c r="U1047" s="15"/>
      <c r="V1047" s="11"/>
      <c r="W1047" s="11"/>
      <c r="X1047" s="11"/>
      <c r="Y1047" s="11"/>
      <c r="Z1047" s="11"/>
    </row>
    <row r="1048">
      <c r="A1048" s="18"/>
      <c r="B1048" s="11"/>
      <c r="C1048" s="11"/>
      <c r="D1048" s="11"/>
      <c r="E1048" s="11"/>
      <c r="F1048" s="11"/>
      <c r="G1048" s="11"/>
      <c r="H1048" s="11"/>
      <c r="I1048" s="11"/>
      <c r="J1048" s="11"/>
      <c r="K1048" s="11"/>
      <c r="L1048" s="15"/>
      <c r="M1048" s="15"/>
      <c r="N1048" s="15"/>
      <c r="O1048" s="15"/>
      <c r="P1048" s="15"/>
      <c r="Q1048" s="11"/>
      <c r="R1048" s="11"/>
      <c r="S1048" s="11"/>
      <c r="T1048" s="11"/>
      <c r="U1048" s="15"/>
      <c r="V1048" s="11"/>
      <c r="W1048" s="11"/>
      <c r="X1048" s="11"/>
      <c r="Y1048" s="11"/>
      <c r="Z1048" s="11"/>
    </row>
    <row r="1049">
      <c r="A1049" s="18"/>
      <c r="B1049" s="11"/>
      <c r="C1049" s="11"/>
      <c r="D1049" s="11"/>
      <c r="E1049" s="11"/>
      <c r="F1049" s="11"/>
      <c r="G1049" s="11"/>
      <c r="H1049" s="11"/>
      <c r="I1049" s="11"/>
      <c r="J1049" s="11"/>
      <c r="K1049" s="11"/>
      <c r="L1049" s="15"/>
      <c r="M1049" s="15"/>
      <c r="N1049" s="15"/>
      <c r="O1049" s="15"/>
      <c r="P1049" s="15"/>
      <c r="Q1049" s="11"/>
      <c r="R1049" s="11"/>
      <c r="S1049" s="11"/>
      <c r="T1049" s="11"/>
      <c r="U1049" s="15"/>
      <c r="V1049" s="11"/>
      <c r="W1049" s="11"/>
      <c r="X1049" s="11"/>
      <c r="Y1049" s="11"/>
      <c r="Z1049" s="11"/>
    </row>
    <row r="1050">
      <c r="A1050" s="18"/>
      <c r="B1050" s="11"/>
      <c r="C1050" s="11"/>
      <c r="D1050" s="11"/>
      <c r="E1050" s="11"/>
      <c r="F1050" s="11"/>
      <c r="G1050" s="11"/>
      <c r="H1050" s="11"/>
      <c r="I1050" s="11"/>
      <c r="J1050" s="11"/>
      <c r="K1050" s="11"/>
      <c r="L1050" s="15"/>
      <c r="M1050" s="15"/>
      <c r="N1050" s="15"/>
      <c r="O1050" s="15"/>
      <c r="P1050" s="15"/>
      <c r="Q1050" s="11"/>
      <c r="R1050" s="11"/>
      <c r="S1050" s="11"/>
      <c r="T1050" s="11"/>
      <c r="U1050" s="15"/>
      <c r="V1050" s="11"/>
      <c r="W1050" s="11"/>
      <c r="X1050" s="11"/>
      <c r="Y1050" s="11"/>
      <c r="Z1050" s="11"/>
    </row>
    <row r="1051">
      <c r="A1051" s="18"/>
      <c r="B1051" s="11"/>
      <c r="C1051" s="11"/>
      <c r="D1051" s="11"/>
      <c r="E1051" s="11"/>
      <c r="F1051" s="11"/>
      <c r="G1051" s="11"/>
      <c r="H1051" s="11"/>
      <c r="I1051" s="11"/>
      <c r="J1051" s="11"/>
      <c r="K1051" s="11"/>
      <c r="L1051" s="15"/>
      <c r="M1051" s="15"/>
      <c r="N1051" s="15"/>
      <c r="O1051" s="15"/>
      <c r="P1051" s="15"/>
      <c r="Q1051" s="11"/>
      <c r="R1051" s="11"/>
      <c r="S1051" s="11"/>
      <c r="T1051" s="11"/>
      <c r="U1051" s="15"/>
      <c r="V1051" s="11"/>
      <c r="W1051" s="11"/>
      <c r="X1051" s="11"/>
      <c r="Y1051" s="11"/>
      <c r="Z1051" s="11"/>
    </row>
    <row r="1052">
      <c r="A1052" s="18"/>
      <c r="B1052" s="11"/>
      <c r="C1052" s="11"/>
      <c r="D1052" s="11"/>
      <c r="E1052" s="11"/>
      <c r="F1052" s="11"/>
      <c r="G1052" s="11"/>
      <c r="H1052" s="11"/>
      <c r="I1052" s="11"/>
      <c r="J1052" s="11"/>
      <c r="K1052" s="11"/>
      <c r="L1052" s="15"/>
      <c r="M1052" s="15"/>
      <c r="N1052" s="15"/>
      <c r="O1052" s="15"/>
      <c r="P1052" s="15"/>
      <c r="Q1052" s="11"/>
      <c r="R1052" s="11"/>
      <c r="S1052" s="11"/>
      <c r="T1052" s="11"/>
      <c r="U1052" s="15"/>
      <c r="V1052" s="11"/>
      <c r="W1052" s="11"/>
      <c r="X1052" s="11"/>
      <c r="Y1052" s="11"/>
      <c r="Z1052" s="11"/>
    </row>
    <row r="1053">
      <c r="A1053" s="18"/>
      <c r="B1053" s="11"/>
      <c r="C1053" s="11"/>
      <c r="D1053" s="11"/>
      <c r="E1053" s="11"/>
      <c r="F1053" s="11"/>
      <c r="G1053" s="11"/>
      <c r="H1053" s="11"/>
      <c r="I1053" s="11"/>
      <c r="J1053" s="11"/>
      <c r="K1053" s="11"/>
      <c r="L1053" s="15"/>
      <c r="M1053" s="15"/>
      <c r="N1053" s="15"/>
      <c r="O1053" s="15"/>
      <c r="P1053" s="15"/>
      <c r="Q1053" s="11"/>
      <c r="R1053" s="11"/>
      <c r="S1053" s="11"/>
      <c r="T1053" s="11"/>
      <c r="U1053" s="15"/>
      <c r="V1053" s="11"/>
      <c r="W1053" s="11"/>
      <c r="X1053" s="11"/>
      <c r="Y1053" s="11"/>
      <c r="Z1053" s="11"/>
    </row>
    <row r="1054">
      <c r="A1054" s="18"/>
      <c r="B1054" s="11"/>
      <c r="C1054" s="11"/>
      <c r="D1054" s="11"/>
      <c r="E1054" s="11"/>
      <c r="F1054" s="11"/>
      <c r="G1054" s="11"/>
      <c r="H1054" s="11"/>
      <c r="I1054" s="11"/>
      <c r="J1054" s="11"/>
      <c r="K1054" s="11"/>
      <c r="L1054" s="15"/>
      <c r="M1054" s="15"/>
      <c r="N1054" s="15"/>
      <c r="O1054" s="15"/>
      <c r="P1054" s="15"/>
      <c r="Q1054" s="11"/>
      <c r="R1054" s="11"/>
      <c r="S1054" s="11"/>
      <c r="T1054" s="11"/>
      <c r="U1054" s="15"/>
      <c r="V1054" s="11"/>
      <c r="W1054" s="11"/>
      <c r="X1054" s="11"/>
      <c r="Y1054" s="11"/>
      <c r="Z1054" s="11"/>
    </row>
    <row r="1055">
      <c r="A1055" s="18"/>
      <c r="B1055" s="11"/>
      <c r="C1055" s="11"/>
      <c r="D1055" s="11"/>
      <c r="E1055" s="11"/>
      <c r="F1055" s="11"/>
      <c r="G1055" s="11"/>
      <c r="H1055" s="11"/>
      <c r="I1055" s="11"/>
      <c r="J1055" s="11"/>
      <c r="K1055" s="11"/>
      <c r="L1055" s="15"/>
      <c r="M1055" s="15"/>
      <c r="N1055" s="15"/>
      <c r="O1055" s="15"/>
      <c r="P1055" s="15"/>
      <c r="Q1055" s="11"/>
      <c r="R1055" s="11"/>
      <c r="S1055" s="11"/>
      <c r="T1055" s="11"/>
      <c r="U1055" s="15"/>
      <c r="V1055" s="11"/>
      <c r="W1055" s="11"/>
      <c r="X1055" s="11"/>
      <c r="Y1055" s="11"/>
      <c r="Z1055" s="11"/>
    </row>
    <row r="1056">
      <c r="A1056" s="18"/>
      <c r="B1056" s="11"/>
      <c r="C1056" s="11"/>
      <c r="D1056" s="11"/>
      <c r="E1056" s="11"/>
      <c r="F1056" s="11"/>
      <c r="G1056" s="11"/>
      <c r="H1056" s="11"/>
      <c r="I1056" s="11"/>
      <c r="J1056" s="11"/>
      <c r="K1056" s="11"/>
      <c r="L1056" s="15"/>
      <c r="M1056" s="15"/>
      <c r="N1056" s="15"/>
      <c r="O1056" s="15"/>
      <c r="P1056" s="15"/>
      <c r="Q1056" s="11"/>
      <c r="R1056" s="11"/>
      <c r="S1056" s="11"/>
      <c r="T1056" s="11"/>
      <c r="U1056" s="15"/>
      <c r="V1056" s="11"/>
      <c r="W1056" s="11"/>
      <c r="X1056" s="11"/>
      <c r="Y1056" s="11"/>
      <c r="Z1056" s="11"/>
    </row>
    <row r="1057">
      <c r="A1057" s="18"/>
      <c r="B1057" s="11"/>
      <c r="C1057" s="11"/>
      <c r="D1057" s="11"/>
      <c r="E1057" s="11"/>
      <c r="F1057" s="11"/>
      <c r="G1057" s="11"/>
      <c r="H1057" s="11"/>
      <c r="I1057" s="11"/>
      <c r="J1057" s="11"/>
      <c r="K1057" s="11"/>
      <c r="L1057" s="15"/>
      <c r="M1057" s="15"/>
      <c r="N1057" s="15"/>
      <c r="O1057" s="15"/>
      <c r="P1057" s="15"/>
      <c r="Q1057" s="11"/>
      <c r="R1057" s="11"/>
      <c r="S1057" s="11"/>
      <c r="T1057" s="11"/>
      <c r="U1057" s="15"/>
      <c r="V1057" s="11"/>
      <c r="W1057" s="11"/>
      <c r="X1057" s="11"/>
      <c r="Y1057" s="11"/>
      <c r="Z1057" s="11"/>
    </row>
    <row r="1058">
      <c r="A1058" s="18"/>
      <c r="B1058" s="11"/>
      <c r="C1058" s="11"/>
      <c r="D1058" s="11"/>
      <c r="E1058" s="11"/>
      <c r="F1058" s="11"/>
      <c r="G1058" s="11"/>
      <c r="H1058" s="11"/>
      <c r="I1058" s="11"/>
      <c r="J1058" s="11"/>
      <c r="K1058" s="11"/>
      <c r="L1058" s="15"/>
      <c r="M1058" s="15"/>
      <c r="N1058" s="15"/>
      <c r="O1058" s="15"/>
      <c r="P1058" s="15"/>
      <c r="Q1058" s="11"/>
      <c r="R1058" s="11"/>
      <c r="S1058" s="11"/>
      <c r="T1058" s="11"/>
      <c r="U1058" s="15"/>
      <c r="V1058" s="11"/>
      <c r="W1058" s="11"/>
      <c r="X1058" s="11"/>
      <c r="Y1058" s="11"/>
      <c r="Z1058" s="11"/>
    </row>
    <row r="1059">
      <c r="A1059" s="18"/>
      <c r="B1059" s="11"/>
      <c r="C1059" s="11"/>
      <c r="D1059" s="11"/>
      <c r="E1059" s="11"/>
      <c r="F1059" s="11"/>
      <c r="G1059" s="11"/>
      <c r="H1059" s="11"/>
      <c r="I1059" s="11"/>
      <c r="J1059" s="11"/>
      <c r="K1059" s="11"/>
      <c r="L1059" s="15"/>
      <c r="M1059" s="15"/>
      <c r="N1059" s="15"/>
      <c r="O1059" s="15"/>
      <c r="P1059" s="15"/>
      <c r="Q1059" s="11"/>
      <c r="R1059" s="11"/>
      <c r="S1059" s="11"/>
      <c r="T1059" s="11"/>
      <c r="U1059" s="15"/>
      <c r="V1059" s="11"/>
      <c r="W1059" s="11"/>
      <c r="X1059" s="11"/>
      <c r="Y1059" s="11"/>
      <c r="Z1059" s="11"/>
    </row>
    <row r="1060">
      <c r="A1060" s="18"/>
      <c r="B1060" s="11"/>
      <c r="C1060" s="11"/>
      <c r="D1060" s="11"/>
      <c r="E1060" s="11"/>
      <c r="F1060" s="11"/>
      <c r="G1060" s="11"/>
      <c r="H1060" s="11"/>
      <c r="I1060" s="11"/>
      <c r="J1060" s="11"/>
      <c r="K1060" s="11"/>
      <c r="L1060" s="15"/>
      <c r="M1060" s="15"/>
      <c r="N1060" s="15"/>
      <c r="O1060" s="15"/>
      <c r="P1060" s="15"/>
      <c r="Q1060" s="11"/>
      <c r="R1060" s="11"/>
      <c r="S1060" s="11"/>
      <c r="T1060" s="11"/>
      <c r="U1060" s="15"/>
      <c r="V1060" s="11"/>
      <c r="W1060" s="11"/>
      <c r="X1060" s="11"/>
      <c r="Y1060" s="11"/>
      <c r="Z1060" s="11"/>
    </row>
    <row r="1061">
      <c r="A1061" s="18"/>
      <c r="B1061" s="11"/>
      <c r="C1061" s="11"/>
      <c r="D1061" s="11"/>
      <c r="E1061" s="11"/>
      <c r="F1061" s="11"/>
      <c r="G1061" s="11"/>
      <c r="H1061" s="11"/>
      <c r="I1061" s="11"/>
      <c r="J1061" s="11"/>
      <c r="K1061" s="11"/>
      <c r="L1061" s="15"/>
      <c r="M1061" s="15"/>
      <c r="N1061" s="15"/>
      <c r="O1061" s="15"/>
      <c r="P1061" s="15"/>
      <c r="Q1061" s="11"/>
      <c r="R1061" s="11"/>
      <c r="S1061" s="11"/>
      <c r="T1061" s="11"/>
      <c r="U1061" s="15"/>
      <c r="V1061" s="11"/>
      <c r="W1061" s="11"/>
      <c r="X1061" s="11"/>
      <c r="Y1061" s="11"/>
      <c r="Z1061" s="11"/>
    </row>
    <row r="1062">
      <c r="A1062" s="18"/>
      <c r="B1062" s="11"/>
      <c r="C1062" s="11"/>
      <c r="D1062" s="11"/>
      <c r="E1062" s="11"/>
      <c r="F1062" s="11"/>
      <c r="G1062" s="11"/>
      <c r="H1062" s="11"/>
      <c r="I1062" s="11"/>
      <c r="J1062" s="11"/>
      <c r="K1062" s="11"/>
      <c r="L1062" s="15"/>
      <c r="M1062" s="15"/>
      <c r="N1062" s="15"/>
      <c r="O1062" s="15"/>
      <c r="P1062" s="15"/>
      <c r="Q1062" s="11"/>
      <c r="R1062" s="11"/>
      <c r="S1062" s="11"/>
      <c r="T1062" s="11"/>
      <c r="U1062" s="15"/>
      <c r="V1062" s="11"/>
      <c r="W1062" s="11"/>
      <c r="X1062" s="11"/>
      <c r="Y1062" s="11"/>
      <c r="Z1062" s="11"/>
    </row>
    <row r="1063">
      <c r="A1063" s="18"/>
      <c r="B1063" s="11"/>
      <c r="C1063" s="11"/>
      <c r="D1063" s="11"/>
      <c r="E1063" s="11"/>
      <c r="F1063" s="11"/>
      <c r="G1063" s="11"/>
      <c r="H1063" s="11"/>
      <c r="I1063" s="11"/>
      <c r="J1063" s="11"/>
      <c r="K1063" s="11"/>
      <c r="L1063" s="15"/>
      <c r="M1063" s="15"/>
      <c r="N1063" s="15"/>
      <c r="O1063" s="15"/>
      <c r="P1063" s="15"/>
      <c r="Q1063" s="11"/>
      <c r="R1063" s="11"/>
      <c r="S1063" s="11"/>
      <c r="T1063" s="11"/>
      <c r="U1063" s="15"/>
      <c r="V1063" s="11"/>
      <c r="W1063" s="11"/>
      <c r="X1063" s="11"/>
      <c r="Y1063" s="11"/>
      <c r="Z1063" s="11"/>
    </row>
    <row r="1064">
      <c r="A1064" s="18"/>
      <c r="B1064" s="11"/>
      <c r="C1064" s="11"/>
      <c r="D1064" s="11"/>
      <c r="E1064" s="11"/>
      <c r="F1064" s="11"/>
      <c r="G1064" s="11"/>
      <c r="H1064" s="11"/>
      <c r="I1064" s="11"/>
      <c r="J1064" s="11"/>
      <c r="K1064" s="11"/>
      <c r="L1064" s="15"/>
      <c r="M1064" s="15"/>
      <c r="N1064" s="15"/>
      <c r="O1064" s="15"/>
      <c r="P1064" s="15"/>
      <c r="Q1064" s="11"/>
      <c r="R1064" s="11"/>
      <c r="S1064" s="11"/>
      <c r="T1064" s="11"/>
      <c r="U1064" s="15"/>
      <c r="V1064" s="11"/>
      <c r="W1064" s="11"/>
      <c r="X1064" s="11"/>
      <c r="Y1064" s="11"/>
      <c r="Z1064" s="11"/>
    </row>
    <row r="1065">
      <c r="A1065" s="18"/>
      <c r="B1065" s="11"/>
      <c r="C1065" s="11"/>
      <c r="D1065" s="11"/>
      <c r="E1065" s="11"/>
      <c r="F1065" s="11"/>
      <c r="G1065" s="11"/>
      <c r="H1065" s="11"/>
      <c r="I1065" s="11"/>
      <c r="J1065" s="11"/>
      <c r="K1065" s="11"/>
      <c r="L1065" s="15"/>
      <c r="M1065" s="15"/>
      <c r="N1065" s="15"/>
      <c r="O1065" s="15"/>
      <c r="P1065" s="15"/>
      <c r="Q1065" s="11"/>
      <c r="R1065" s="11"/>
      <c r="S1065" s="11"/>
      <c r="T1065" s="11"/>
      <c r="U1065" s="15"/>
      <c r="V1065" s="11"/>
      <c r="W1065" s="11"/>
      <c r="X1065" s="11"/>
      <c r="Y1065" s="11"/>
      <c r="Z1065" s="11"/>
    </row>
    <row r="1066">
      <c r="A1066" s="18"/>
      <c r="B1066" s="11"/>
      <c r="C1066" s="11"/>
      <c r="D1066" s="11"/>
      <c r="E1066" s="11"/>
      <c r="F1066" s="11"/>
      <c r="G1066" s="11"/>
      <c r="H1066" s="11"/>
      <c r="I1066" s="11"/>
      <c r="J1066" s="11"/>
      <c r="K1066" s="11"/>
      <c r="L1066" s="15"/>
      <c r="M1066" s="15"/>
      <c r="N1066" s="15"/>
      <c r="O1066" s="15"/>
      <c r="P1066" s="15"/>
      <c r="Q1066" s="11"/>
      <c r="R1066" s="11"/>
      <c r="S1066" s="11"/>
      <c r="T1066" s="11"/>
      <c r="U1066" s="15"/>
      <c r="V1066" s="11"/>
      <c r="W1066" s="11"/>
      <c r="X1066" s="11"/>
      <c r="Y1066" s="11"/>
      <c r="Z1066" s="11"/>
    </row>
    <row r="1067">
      <c r="A1067" s="18"/>
      <c r="B1067" s="11"/>
      <c r="C1067" s="11"/>
      <c r="D1067" s="11"/>
      <c r="E1067" s="11"/>
      <c r="F1067" s="11"/>
      <c r="G1067" s="11"/>
      <c r="H1067" s="11"/>
      <c r="I1067" s="11"/>
      <c r="J1067" s="11"/>
      <c r="K1067" s="11"/>
      <c r="L1067" s="15"/>
      <c r="M1067" s="15"/>
      <c r="N1067" s="15"/>
      <c r="O1067" s="15"/>
      <c r="P1067" s="15"/>
      <c r="Q1067" s="11"/>
      <c r="R1067" s="11"/>
      <c r="S1067" s="11"/>
      <c r="T1067" s="11"/>
      <c r="U1067" s="15"/>
      <c r="V1067" s="11"/>
      <c r="W1067" s="11"/>
      <c r="X1067" s="11"/>
      <c r="Y1067" s="11"/>
      <c r="Z1067" s="11"/>
    </row>
    <row r="1068">
      <c r="A1068" s="18"/>
      <c r="B1068" s="11"/>
      <c r="C1068" s="11"/>
      <c r="D1068" s="11"/>
      <c r="E1068" s="11"/>
      <c r="F1068" s="11"/>
      <c r="G1068" s="11"/>
      <c r="H1068" s="11"/>
      <c r="I1068" s="11"/>
      <c r="J1068" s="11"/>
      <c r="K1068" s="11"/>
      <c r="L1068" s="15"/>
      <c r="M1068" s="15"/>
      <c r="N1068" s="15"/>
      <c r="O1068" s="15"/>
      <c r="P1068" s="15"/>
      <c r="Q1068" s="11"/>
      <c r="R1068" s="11"/>
      <c r="S1068" s="11"/>
      <c r="T1068" s="11"/>
      <c r="U1068" s="15"/>
      <c r="V1068" s="11"/>
      <c r="W1068" s="11"/>
      <c r="X1068" s="11"/>
      <c r="Y1068" s="11"/>
      <c r="Z1068" s="11"/>
    </row>
    <row r="1069">
      <c r="A1069" s="18"/>
      <c r="B1069" s="11"/>
      <c r="C1069" s="11"/>
      <c r="D1069" s="11"/>
      <c r="E1069" s="11"/>
      <c r="F1069" s="11"/>
      <c r="G1069" s="11"/>
      <c r="H1069" s="11"/>
      <c r="I1069" s="11"/>
      <c r="J1069" s="11"/>
      <c r="K1069" s="11"/>
      <c r="L1069" s="15"/>
      <c r="M1069" s="15"/>
      <c r="N1069" s="15"/>
      <c r="O1069" s="15"/>
      <c r="P1069" s="15"/>
      <c r="Q1069" s="11"/>
      <c r="R1069" s="11"/>
      <c r="S1069" s="11"/>
      <c r="T1069" s="11"/>
      <c r="U1069" s="15"/>
      <c r="V1069" s="11"/>
      <c r="W1069" s="11"/>
      <c r="X1069" s="11"/>
      <c r="Y1069" s="11"/>
      <c r="Z1069" s="11"/>
    </row>
    <row r="1070">
      <c r="A1070" s="18"/>
      <c r="B1070" s="11"/>
      <c r="C1070" s="11"/>
      <c r="D1070" s="11"/>
      <c r="E1070" s="11"/>
      <c r="F1070" s="11"/>
      <c r="G1070" s="11"/>
      <c r="H1070" s="11"/>
      <c r="I1070" s="11"/>
      <c r="J1070" s="11"/>
      <c r="K1070" s="11"/>
      <c r="L1070" s="15"/>
      <c r="M1070" s="15"/>
      <c r="N1070" s="15"/>
      <c r="O1070" s="15"/>
      <c r="P1070" s="15"/>
      <c r="Q1070" s="11"/>
      <c r="R1070" s="11"/>
      <c r="S1070" s="11"/>
      <c r="T1070" s="11"/>
      <c r="U1070" s="15"/>
      <c r="V1070" s="11"/>
      <c r="W1070" s="11"/>
      <c r="X1070" s="11"/>
      <c r="Y1070" s="11"/>
      <c r="Z1070" s="11"/>
    </row>
    <row r="1071">
      <c r="A1071" s="18"/>
      <c r="B1071" s="11"/>
      <c r="C1071" s="11"/>
      <c r="D1071" s="11"/>
      <c r="E1071" s="11"/>
      <c r="F1071" s="11"/>
      <c r="G1071" s="11"/>
      <c r="H1071" s="11"/>
      <c r="I1071" s="11"/>
      <c r="J1071" s="11"/>
      <c r="K1071" s="11"/>
      <c r="L1071" s="15"/>
      <c r="M1071" s="15"/>
      <c r="N1071" s="15"/>
      <c r="O1071" s="15"/>
      <c r="P1071" s="15"/>
      <c r="Q1071" s="11"/>
      <c r="R1071" s="11"/>
      <c r="S1071" s="11"/>
      <c r="T1071" s="11"/>
      <c r="U1071" s="15"/>
      <c r="V1071" s="11"/>
      <c r="W1071" s="11"/>
      <c r="X1071" s="11"/>
      <c r="Y1071" s="11"/>
      <c r="Z1071" s="11"/>
    </row>
    <row r="1072">
      <c r="A1072" s="18"/>
      <c r="B1072" s="11"/>
      <c r="C1072" s="11"/>
      <c r="D1072" s="11"/>
      <c r="E1072" s="11"/>
      <c r="F1072" s="11"/>
      <c r="G1072" s="11"/>
      <c r="H1072" s="11"/>
      <c r="I1072" s="11"/>
      <c r="J1072" s="11"/>
      <c r="K1072" s="11"/>
      <c r="L1072" s="15"/>
      <c r="M1072" s="15"/>
      <c r="N1072" s="15"/>
      <c r="O1072" s="15"/>
      <c r="P1072" s="15"/>
      <c r="Q1072" s="11"/>
      <c r="R1072" s="11"/>
      <c r="S1072" s="11"/>
      <c r="T1072" s="11"/>
      <c r="U1072" s="15"/>
      <c r="V1072" s="11"/>
      <c r="W1072" s="11"/>
      <c r="X1072" s="11"/>
      <c r="Y1072" s="11"/>
      <c r="Z1072" s="11"/>
    </row>
    <row r="1073">
      <c r="A1073" s="18"/>
      <c r="B1073" s="11"/>
      <c r="C1073" s="11"/>
      <c r="D1073" s="11"/>
      <c r="E1073" s="11"/>
      <c r="F1073" s="11"/>
      <c r="G1073" s="11"/>
      <c r="H1073" s="11"/>
      <c r="I1073" s="11"/>
      <c r="J1073" s="11"/>
      <c r="K1073" s="11"/>
      <c r="L1073" s="15"/>
      <c r="M1073" s="15"/>
      <c r="N1073" s="15"/>
      <c r="O1073" s="15"/>
      <c r="P1073" s="15"/>
      <c r="Q1073" s="11"/>
      <c r="R1073" s="11"/>
      <c r="S1073" s="11"/>
      <c r="T1073" s="11"/>
      <c r="U1073" s="15"/>
      <c r="V1073" s="11"/>
      <c r="W1073" s="11"/>
      <c r="X1073" s="11"/>
      <c r="Y1073" s="11"/>
      <c r="Z1073" s="11"/>
    </row>
    <row r="1074">
      <c r="A1074" s="18"/>
      <c r="B1074" s="11"/>
      <c r="C1074" s="11"/>
      <c r="D1074" s="11"/>
      <c r="E1074" s="11"/>
      <c r="F1074" s="11"/>
      <c r="G1074" s="11"/>
      <c r="H1074" s="11"/>
      <c r="I1074" s="11"/>
      <c r="J1074" s="11"/>
      <c r="K1074" s="11"/>
      <c r="L1074" s="15"/>
      <c r="M1074" s="15"/>
      <c r="N1074" s="15"/>
      <c r="O1074" s="15"/>
      <c r="P1074" s="15"/>
      <c r="Q1074" s="11"/>
      <c r="R1074" s="11"/>
      <c r="S1074" s="11"/>
      <c r="T1074" s="11"/>
      <c r="U1074" s="15"/>
      <c r="V1074" s="11"/>
      <c r="W1074" s="11"/>
      <c r="X1074" s="11"/>
      <c r="Y1074" s="11"/>
      <c r="Z1074" s="11"/>
    </row>
    <row r="1075">
      <c r="A1075" s="18"/>
      <c r="B1075" s="11"/>
      <c r="C1075" s="11"/>
      <c r="D1075" s="11"/>
      <c r="E1075" s="11"/>
      <c r="F1075" s="11"/>
      <c r="G1075" s="11"/>
      <c r="H1075" s="11"/>
      <c r="I1075" s="11"/>
      <c r="J1075" s="11"/>
      <c r="K1075" s="11"/>
      <c r="L1075" s="15"/>
      <c r="M1075" s="15"/>
      <c r="N1075" s="15"/>
      <c r="O1075" s="15"/>
      <c r="P1075" s="15"/>
      <c r="Q1075" s="11"/>
      <c r="R1075" s="11"/>
      <c r="S1075" s="11"/>
      <c r="T1075" s="11"/>
      <c r="U1075" s="15"/>
      <c r="V1075" s="11"/>
      <c r="W1075" s="11"/>
      <c r="X1075" s="11"/>
      <c r="Y1075" s="11"/>
      <c r="Z1075" s="11"/>
    </row>
    <row r="1076">
      <c r="A1076" s="18"/>
      <c r="B1076" s="11"/>
      <c r="C1076" s="11"/>
      <c r="D1076" s="11"/>
      <c r="E1076" s="11"/>
      <c r="F1076" s="11"/>
      <c r="G1076" s="11"/>
      <c r="H1076" s="11"/>
      <c r="I1076" s="11"/>
      <c r="J1076" s="11"/>
      <c r="K1076" s="11"/>
      <c r="L1076" s="15"/>
      <c r="M1076" s="15"/>
      <c r="N1076" s="15"/>
      <c r="O1076" s="15"/>
      <c r="P1076" s="15"/>
      <c r="Q1076" s="11"/>
      <c r="R1076" s="11"/>
      <c r="S1076" s="11"/>
      <c r="T1076" s="11"/>
      <c r="U1076" s="15"/>
      <c r="V1076" s="11"/>
      <c r="W1076" s="11"/>
      <c r="X1076" s="11"/>
      <c r="Y1076" s="11"/>
      <c r="Z1076" s="11"/>
    </row>
    <row r="1077">
      <c r="A1077" s="18"/>
      <c r="B1077" s="11"/>
      <c r="C1077" s="11"/>
      <c r="D1077" s="11"/>
      <c r="E1077" s="11"/>
      <c r="F1077" s="11"/>
      <c r="G1077" s="11"/>
      <c r="H1077" s="11"/>
      <c r="I1077" s="11"/>
      <c r="J1077" s="11"/>
      <c r="K1077" s="11"/>
      <c r="L1077" s="15"/>
      <c r="M1077" s="15"/>
      <c r="N1077" s="15"/>
      <c r="O1077" s="15"/>
      <c r="P1077" s="15"/>
      <c r="Q1077" s="11"/>
      <c r="R1077" s="11"/>
      <c r="S1077" s="11"/>
      <c r="T1077" s="11"/>
      <c r="U1077" s="15"/>
      <c r="V1077" s="11"/>
      <c r="W1077" s="11"/>
      <c r="X1077" s="11"/>
      <c r="Y1077" s="11"/>
      <c r="Z1077" s="11"/>
    </row>
    <row r="1078">
      <c r="A1078" s="18"/>
      <c r="B1078" s="11"/>
      <c r="C1078" s="11"/>
      <c r="D1078" s="11"/>
      <c r="E1078" s="11"/>
      <c r="F1078" s="11"/>
      <c r="G1078" s="11"/>
      <c r="H1078" s="11"/>
      <c r="I1078" s="11"/>
      <c r="J1078" s="11"/>
      <c r="K1078" s="11"/>
      <c r="L1078" s="15"/>
      <c r="M1078" s="15"/>
      <c r="N1078" s="15"/>
      <c r="O1078" s="15"/>
      <c r="P1078" s="15"/>
      <c r="Q1078" s="11"/>
      <c r="R1078" s="11"/>
      <c r="S1078" s="11"/>
      <c r="T1078" s="11"/>
      <c r="U1078" s="15"/>
      <c r="V1078" s="11"/>
      <c r="W1078" s="11"/>
      <c r="X1078" s="11"/>
      <c r="Y1078" s="11"/>
      <c r="Z1078" s="11"/>
    </row>
    <row r="1079">
      <c r="A1079" s="18"/>
      <c r="B1079" s="11"/>
      <c r="C1079" s="11"/>
      <c r="D1079" s="11"/>
      <c r="E1079" s="11"/>
      <c r="F1079" s="11"/>
      <c r="G1079" s="11"/>
      <c r="H1079" s="11"/>
      <c r="I1079" s="11"/>
      <c r="J1079" s="11"/>
      <c r="K1079" s="11"/>
      <c r="L1079" s="15"/>
      <c r="M1079" s="15"/>
      <c r="N1079" s="15"/>
      <c r="O1079" s="15"/>
      <c r="P1079" s="15"/>
      <c r="Q1079" s="11"/>
      <c r="R1079" s="11"/>
      <c r="S1079" s="11"/>
      <c r="T1079" s="11"/>
      <c r="U1079" s="15"/>
      <c r="V1079" s="11"/>
      <c r="W1079" s="11"/>
      <c r="X1079" s="11"/>
      <c r="Y1079" s="11"/>
      <c r="Z1079" s="11"/>
    </row>
    <row r="1080">
      <c r="A1080" s="18"/>
      <c r="B1080" s="11"/>
      <c r="C1080" s="11"/>
      <c r="D1080" s="11"/>
      <c r="E1080" s="11"/>
      <c r="F1080" s="11"/>
      <c r="G1080" s="11"/>
      <c r="H1080" s="11"/>
      <c r="I1080" s="11"/>
      <c r="J1080" s="11"/>
      <c r="K1080" s="11"/>
      <c r="L1080" s="15"/>
      <c r="M1080" s="15"/>
      <c r="N1080" s="15"/>
      <c r="O1080" s="15"/>
      <c r="P1080" s="15"/>
      <c r="Q1080" s="11"/>
      <c r="R1080" s="11"/>
      <c r="S1080" s="11"/>
      <c r="T1080" s="11"/>
      <c r="U1080" s="15"/>
      <c r="V1080" s="11"/>
      <c r="W1080" s="11"/>
      <c r="X1080" s="11"/>
      <c r="Y1080" s="11"/>
      <c r="Z1080" s="11"/>
    </row>
    <row r="1081">
      <c r="A1081" s="18"/>
      <c r="B1081" s="11"/>
      <c r="C1081" s="11"/>
      <c r="D1081" s="11"/>
      <c r="E1081" s="11"/>
      <c r="F1081" s="11"/>
      <c r="G1081" s="11"/>
      <c r="H1081" s="11"/>
      <c r="I1081" s="11"/>
      <c r="J1081" s="11"/>
      <c r="K1081" s="11"/>
      <c r="L1081" s="15"/>
      <c r="M1081" s="15"/>
      <c r="N1081" s="15"/>
      <c r="O1081" s="15"/>
      <c r="P1081" s="15"/>
      <c r="Q1081" s="11"/>
      <c r="R1081" s="11"/>
      <c r="S1081" s="11"/>
      <c r="T1081" s="11"/>
      <c r="U1081" s="15"/>
      <c r="V1081" s="11"/>
      <c r="W1081" s="11"/>
      <c r="X1081" s="11"/>
      <c r="Y1081" s="11"/>
      <c r="Z1081" s="11"/>
    </row>
    <row r="1082">
      <c r="A1082" s="18"/>
      <c r="B1082" s="11"/>
      <c r="C1082" s="11"/>
      <c r="D1082" s="11"/>
      <c r="E1082" s="11"/>
      <c r="F1082" s="11"/>
      <c r="G1082" s="11"/>
      <c r="H1082" s="11"/>
      <c r="I1082" s="11"/>
      <c r="J1082" s="11"/>
      <c r="K1082" s="11"/>
      <c r="L1082" s="15"/>
      <c r="M1082" s="15"/>
      <c r="N1082" s="15"/>
      <c r="O1082" s="15"/>
      <c r="P1082" s="15"/>
      <c r="Q1082" s="11"/>
      <c r="R1082" s="11"/>
      <c r="S1082" s="11"/>
      <c r="T1082" s="11"/>
      <c r="U1082" s="15"/>
      <c r="V1082" s="11"/>
      <c r="W1082" s="11"/>
      <c r="X1082" s="11"/>
      <c r="Y1082" s="11"/>
      <c r="Z1082" s="11"/>
    </row>
    <row r="1083">
      <c r="A1083" s="18"/>
      <c r="B1083" s="11"/>
      <c r="C1083" s="11"/>
      <c r="D1083" s="11"/>
      <c r="E1083" s="11"/>
      <c r="F1083" s="11"/>
      <c r="G1083" s="11"/>
      <c r="H1083" s="11"/>
      <c r="I1083" s="11"/>
      <c r="J1083" s="11"/>
      <c r="K1083" s="11"/>
      <c r="L1083" s="15"/>
      <c r="M1083" s="15"/>
      <c r="N1083" s="15"/>
      <c r="O1083" s="15"/>
      <c r="P1083" s="15"/>
      <c r="Q1083" s="11"/>
      <c r="R1083" s="11"/>
      <c r="S1083" s="11"/>
      <c r="T1083" s="11"/>
      <c r="U1083" s="15"/>
      <c r="V1083" s="11"/>
      <c r="W1083" s="11"/>
      <c r="X1083" s="11"/>
      <c r="Y1083" s="11"/>
      <c r="Z1083" s="11"/>
    </row>
    <row r="1084">
      <c r="A1084" s="18"/>
      <c r="B1084" s="11"/>
      <c r="C1084" s="11"/>
      <c r="D1084" s="11"/>
      <c r="E1084" s="11"/>
      <c r="F1084" s="11"/>
      <c r="G1084" s="11"/>
      <c r="H1084" s="11"/>
      <c r="I1084" s="11"/>
      <c r="J1084" s="11"/>
      <c r="K1084" s="11"/>
      <c r="L1084" s="15"/>
      <c r="M1084" s="15"/>
      <c r="N1084" s="15"/>
      <c r="O1084" s="15"/>
      <c r="P1084" s="15"/>
      <c r="Q1084" s="11"/>
      <c r="R1084" s="11"/>
      <c r="S1084" s="11"/>
      <c r="T1084" s="11"/>
      <c r="U1084" s="15"/>
      <c r="V1084" s="11"/>
      <c r="W1084" s="11"/>
      <c r="X1084" s="11"/>
      <c r="Y1084" s="11"/>
      <c r="Z1084" s="11"/>
    </row>
    <row r="1085">
      <c r="A1085" s="18"/>
      <c r="B1085" s="11"/>
      <c r="C1085" s="11"/>
      <c r="D1085" s="11"/>
      <c r="E1085" s="11"/>
      <c r="F1085" s="11"/>
      <c r="G1085" s="11"/>
      <c r="H1085" s="11"/>
      <c r="I1085" s="11"/>
      <c r="J1085" s="11"/>
      <c r="K1085" s="11"/>
      <c r="L1085" s="15"/>
      <c r="M1085" s="15"/>
      <c r="N1085" s="15"/>
      <c r="O1085" s="15"/>
      <c r="P1085" s="15"/>
      <c r="Q1085" s="11"/>
      <c r="R1085" s="11"/>
      <c r="S1085" s="11"/>
      <c r="T1085" s="11"/>
      <c r="U1085" s="15"/>
      <c r="V1085" s="11"/>
      <c r="W1085" s="11"/>
      <c r="X1085" s="11"/>
      <c r="Y1085" s="11"/>
      <c r="Z1085" s="11"/>
    </row>
    <row r="1086">
      <c r="A1086" s="18"/>
      <c r="B1086" s="11"/>
      <c r="C1086" s="11"/>
      <c r="D1086" s="11"/>
      <c r="E1086" s="11"/>
      <c r="F1086" s="11"/>
      <c r="G1086" s="11"/>
      <c r="H1086" s="11"/>
      <c r="I1086" s="11"/>
      <c r="J1086" s="11"/>
      <c r="K1086" s="11"/>
      <c r="L1086" s="15"/>
      <c r="M1086" s="15"/>
      <c r="N1086" s="15"/>
      <c r="O1086" s="15"/>
      <c r="P1086" s="15"/>
      <c r="Q1086" s="11"/>
      <c r="R1086" s="11"/>
      <c r="S1086" s="11"/>
      <c r="T1086" s="11"/>
      <c r="U1086" s="15"/>
      <c r="V1086" s="11"/>
      <c r="W1086" s="11"/>
      <c r="X1086" s="11"/>
      <c r="Y1086" s="11"/>
      <c r="Z1086" s="11"/>
    </row>
    <row r="1087">
      <c r="A1087" s="18"/>
      <c r="B1087" s="11"/>
      <c r="C1087" s="11"/>
      <c r="D1087" s="11"/>
      <c r="E1087" s="11"/>
      <c r="F1087" s="11"/>
      <c r="G1087" s="11"/>
      <c r="H1087" s="11"/>
      <c r="I1087" s="11"/>
      <c r="J1087" s="11"/>
      <c r="K1087" s="11"/>
      <c r="L1087" s="15"/>
      <c r="M1087" s="15"/>
      <c r="N1087" s="15"/>
      <c r="O1087" s="15"/>
      <c r="P1087" s="15"/>
      <c r="Q1087" s="11"/>
      <c r="R1087" s="11"/>
      <c r="S1087" s="11"/>
      <c r="T1087" s="11"/>
      <c r="U1087" s="15"/>
      <c r="V1087" s="11"/>
      <c r="W1087" s="11"/>
      <c r="X1087" s="11"/>
      <c r="Y1087" s="11"/>
      <c r="Z1087" s="11"/>
    </row>
    <row r="1088">
      <c r="A1088" s="18"/>
      <c r="B1088" s="11"/>
      <c r="C1088" s="11"/>
      <c r="D1088" s="11"/>
      <c r="E1088" s="11"/>
      <c r="F1088" s="11"/>
      <c r="G1088" s="11"/>
      <c r="H1088" s="11"/>
      <c r="I1088" s="11"/>
      <c r="J1088" s="11"/>
      <c r="K1088" s="11"/>
      <c r="L1088" s="15"/>
      <c r="M1088" s="15"/>
      <c r="N1088" s="15"/>
      <c r="O1088" s="15"/>
      <c r="P1088" s="15"/>
      <c r="Q1088" s="11"/>
      <c r="R1088" s="11"/>
      <c r="S1088" s="11"/>
      <c r="T1088" s="11"/>
      <c r="U1088" s="15"/>
      <c r="V1088" s="11"/>
      <c r="W1088" s="11"/>
      <c r="X1088" s="11"/>
      <c r="Y1088" s="11"/>
      <c r="Z1088" s="11"/>
    </row>
    <row r="1089">
      <c r="A1089" s="18"/>
      <c r="B1089" s="11"/>
      <c r="C1089" s="11"/>
      <c r="D1089" s="11"/>
      <c r="E1089" s="11"/>
      <c r="F1089" s="11"/>
      <c r="G1089" s="11"/>
      <c r="H1089" s="11"/>
      <c r="I1089" s="11"/>
      <c r="J1089" s="11"/>
      <c r="K1089" s="11"/>
      <c r="L1089" s="15"/>
      <c r="M1089" s="15"/>
      <c r="N1089" s="15"/>
      <c r="O1089" s="15"/>
      <c r="P1089" s="15"/>
      <c r="Q1089" s="11"/>
      <c r="R1089" s="11"/>
      <c r="S1089" s="11"/>
      <c r="T1089" s="11"/>
      <c r="U1089" s="15"/>
      <c r="V1089" s="11"/>
      <c r="W1089" s="11"/>
      <c r="X1089" s="11"/>
      <c r="Y1089" s="11"/>
      <c r="Z1089" s="11"/>
    </row>
    <row r="1090">
      <c r="A1090" s="18"/>
      <c r="B1090" s="11"/>
      <c r="C1090" s="11"/>
      <c r="D1090" s="11"/>
      <c r="E1090" s="11"/>
      <c r="F1090" s="11"/>
      <c r="G1090" s="11"/>
      <c r="H1090" s="11"/>
      <c r="I1090" s="11"/>
      <c r="J1090" s="11"/>
      <c r="K1090" s="11"/>
      <c r="L1090" s="15"/>
      <c r="M1090" s="15"/>
      <c r="N1090" s="15"/>
      <c r="O1090" s="15"/>
      <c r="P1090" s="15"/>
      <c r="Q1090" s="11"/>
      <c r="R1090" s="11"/>
      <c r="S1090" s="11"/>
      <c r="T1090" s="11"/>
      <c r="U1090" s="15"/>
      <c r="V1090" s="11"/>
      <c r="W1090" s="11"/>
      <c r="X1090" s="11"/>
      <c r="Y1090" s="11"/>
      <c r="Z1090" s="11"/>
    </row>
    <row r="1091">
      <c r="A1091" s="18"/>
      <c r="B1091" s="11"/>
      <c r="C1091" s="11"/>
      <c r="D1091" s="11"/>
      <c r="E1091" s="11"/>
      <c r="F1091" s="11"/>
      <c r="G1091" s="11"/>
      <c r="H1091" s="11"/>
      <c r="I1091" s="11"/>
      <c r="J1091" s="11"/>
      <c r="K1091" s="11"/>
      <c r="L1091" s="15"/>
      <c r="M1091" s="15"/>
      <c r="N1091" s="15"/>
      <c r="O1091" s="15"/>
      <c r="P1091" s="15"/>
      <c r="Q1091" s="11"/>
      <c r="R1091" s="11"/>
      <c r="S1091" s="11"/>
      <c r="T1091" s="11"/>
      <c r="U1091" s="15"/>
      <c r="V1091" s="11"/>
      <c r="W1091" s="11"/>
      <c r="X1091" s="11"/>
      <c r="Y1091" s="11"/>
      <c r="Z1091" s="11"/>
    </row>
    <row r="1092">
      <c r="A1092" s="18"/>
      <c r="B1092" s="11"/>
      <c r="C1092" s="11"/>
      <c r="D1092" s="11"/>
      <c r="E1092" s="11"/>
      <c r="F1092" s="11"/>
      <c r="G1092" s="11"/>
      <c r="H1092" s="11"/>
      <c r="I1092" s="11"/>
      <c r="J1092" s="11"/>
      <c r="K1092" s="11"/>
      <c r="L1092" s="15"/>
      <c r="M1092" s="15"/>
      <c r="N1092" s="15"/>
      <c r="O1092" s="15"/>
      <c r="P1092" s="15"/>
      <c r="Q1092" s="11"/>
      <c r="R1092" s="11"/>
      <c r="S1092" s="11"/>
      <c r="T1092" s="11"/>
      <c r="U1092" s="15"/>
      <c r="V1092" s="11"/>
      <c r="W1092" s="11"/>
      <c r="X1092" s="11"/>
      <c r="Y1092" s="11"/>
      <c r="Z1092" s="11"/>
    </row>
    <row r="1093">
      <c r="A1093" s="18"/>
      <c r="B1093" s="11"/>
      <c r="C1093" s="11"/>
      <c r="D1093" s="11"/>
      <c r="E1093" s="11"/>
      <c r="F1093" s="11"/>
      <c r="G1093" s="11"/>
      <c r="H1093" s="11"/>
      <c r="I1093" s="11"/>
      <c r="J1093" s="11"/>
      <c r="K1093" s="11"/>
      <c r="L1093" s="15"/>
      <c r="M1093" s="15"/>
      <c r="N1093" s="15"/>
      <c r="O1093" s="15"/>
      <c r="P1093" s="15"/>
      <c r="Q1093" s="11"/>
      <c r="R1093" s="11"/>
      <c r="S1093" s="11"/>
      <c r="T1093" s="11"/>
      <c r="U1093" s="15"/>
      <c r="V1093" s="11"/>
      <c r="W1093" s="11"/>
      <c r="X1093" s="11"/>
      <c r="Y1093" s="11"/>
      <c r="Z1093" s="11"/>
    </row>
    <row r="1094">
      <c r="A1094" s="18"/>
      <c r="B1094" s="11"/>
      <c r="C1094" s="11"/>
      <c r="D1094" s="11"/>
      <c r="E1094" s="11"/>
      <c r="F1094" s="11"/>
      <c r="G1094" s="11"/>
      <c r="H1094" s="11"/>
      <c r="I1094" s="11"/>
      <c r="J1094" s="11"/>
      <c r="K1094" s="11"/>
      <c r="L1094" s="15"/>
      <c r="M1094" s="15"/>
      <c r="N1094" s="15"/>
      <c r="O1094" s="15"/>
      <c r="P1094" s="15"/>
      <c r="Q1094" s="11"/>
      <c r="R1094" s="11"/>
      <c r="S1094" s="11"/>
      <c r="T1094" s="11"/>
      <c r="U1094" s="15"/>
      <c r="V1094" s="11"/>
      <c r="W1094" s="11"/>
      <c r="X1094" s="11"/>
      <c r="Y1094" s="11"/>
      <c r="Z1094" s="11"/>
    </row>
    <row r="1095">
      <c r="A1095" s="18"/>
      <c r="B1095" s="11"/>
      <c r="C1095" s="11"/>
      <c r="D1095" s="11"/>
      <c r="E1095" s="11"/>
      <c r="F1095" s="11"/>
      <c r="G1095" s="11"/>
      <c r="H1095" s="11"/>
      <c r="I1095" s="11"/>
      <c r="J1095" s="11"/>
      <c r="K1095" s="11"/>
      <c r="L1095" s="15"/>
      <c r="M1095" s="15"/>
      <c r="N1095" s="15"/>
      <c r="O1095" s="15"/>
      <c r="P1095" s="15"/>
      <c r="Q1095" s="11"/>
      <c r="R1095" s="11"/>
      <c r="S1095" s="11"/>
      <c r="T1095" s="11"/>
      <c r="U1095" s="15"/>
      <c r="V1095" s="11"/>
      <c r="W1095" s="11"/>
      <c r="X1095" s="11"/>
      <c r="Y1095" s="11"/>
      <c r="Z1095" s="11"/>
    </row>
    <row r="1096">
      <c r="A1096" s="18"/>
      <c r="B1096" s="11"/>
      <c r="C1096" s="11"/>
      <c r="D1096" s="11"/>
      <c r="E1096" s="11"/>
      <c r="F1096" s="11"/>
      <c r="G1096" s="11"/>
      <c r="H1096" s="11"/>
      <c r="I1096" s="11"/>
      <c r="J1096" s="11"/>
      <c r="K1096" s="11"/>
      <c r="L1096" s="15"/>
      <c r="M1096" s="15"/>
      <c r="N1096" s="15"/>
      <c r="O1096" s="15"/>
      <c r="P1096" s="15"/>
      <c r="Q1096" s="11"/>
      <c r="R1096" s="11"/>
      <c r="S1096" s="11"/>
      <c r="T1096" s="11"/>
      <c r="U1096" s="15"/>
      <c r="V1096" s="11"/>
      <c r="W1096" s="11"/>
      <c r="X1096" s="11"/>
      <c r="Y1096" s="11"/>
      <c r="Z1096" s="11"/>
    </row>
    <row r="1097">
      <c r="A1097" s="18"/>
      <c r="B1097" s="11"/>
      <c r="C1097" s="11"/>
      <c r="D1097" s="11"/>
      <c r="E1097" s="11"/>
      <c r="F1097" s="11"/>
      <c r="G1097" s="11"/>
      <c r="H1097" s="11"/>
      <c r="I1097" s="11"/>
      <c r="J1097" s="11"/>
      <c r="K1097" s="11"/>
      <c r="L1097" s="15"/>
      <c r="M1097" s="15"/>
      <c r="N1097" s="15"/>
      <c r="O1097" s="15"/>
      <c r="P1097" s="15"/>
      <c r="Q1097" s="11"/>
      <c r="R1097" s="11"/>
      <c r="S1097" s="11"/>
      <c r="T1097" s="11"/>
      <c r="U1097" s="15"/>
      <c r="V1097" s="11"/>
      <c r="W1097" s="11"/>
      <c r="X1097" s="11"/>
      <c r="Y1097" s="11"/>
      <c r="Z1097" s="11"/>
    </row>
    <row r="1098">
      <c r="A1098" s="18"/>
      <c r="B1098" s="11"/>
      <c r="C1098" s="11"/>
      <c r="D1098" s="11"/>
      <c r="E1098" s="11"/>
      <c r="F1098" s="11"/>
      <c r="G1098" s="11"/>
      <c r="H1098" s="11"/>
      <c r="I1098" s="11"/>
      <c r="J1098" s="11"/>
      <c r="K1098" s="11"/>
      <c r="L1098" s="15"/>
      <c r="M1098" s="15"/>
      <c r="N1098" s="15"/>
      <c r="O1098" s="15"/>
      <c r="P1098" s="15"/>
      <c r="Q1098" s="11"/>
      <c r="R1098" s="11"/>
      <c r="S1098" s="11"/>
      <c r="T1098" s="11"/>
      <c r="U1098" s="15"/>
      <c r="V1098" s="11"/>
      <c r="W1098" s="11"/>
      <c r="X1098" s="11"/>
      <c r="Y1098" s="11"/>
      <c r="Z1098" s="11"/>
    </row>
    <row r="1099">
      <c r="A1099" s="18"/>
      <c r="B1099" s="11"/>
      <c r="C1099" s="11"/>
      <c r="D1099" s="11"/>
      <c r="E1099" s="11"/>
      <c r="F1099" s="11"/>
      <c r="G1099" s="11"/>
      <c r="H1099" s="11"/>
      <c r="I1099" s="11"/>
      <c r="J1099" s="11"/>
      <c r="K1099" s="11"/>
      <c r="L1099" s="15"/>
      <c r="M1099" s="15"/>
      <c r="N1099" s="15"/>
      <c r="O1099" s="15"/>
      <c r="P1099" s="15"/>
      <c r="Q1099" s="11"/>
      <c r="R1099" s="11"/>
      <c r="S1099" s="11"/>
      <c r="T1099" s="11"/>
      <c r="U1099" s="15"/>
      <c r="V1099" s="11"/>
      <c r="W1099" s="11"/>
      <c r="X1099" s="11"/>
      <c r="Y1099" s="11"/>
      <c r="Z1099" s="11"/>
    </row>
    <row r="1100">
      <c r="A1100" s="18"/>
      <c r="B1100" s="11"/>
      <c r="C1100" s="11"/>
      <c r="D1100" s="11"/>
      <c r="E1100" s="11"/>
      <c r="F1100" s="11"/>
      <c r="G1100" s="11"/>
      <c r="H1100" s="11"/>
      <c r="I1100" s="11"/>
      <c r="J1100" s="11"/>
      <c r="K1100" s="11"/>
      <c r="L1100" s="15"/>
      <c r="M1100" s="15"/>
      <c r="N1100" s="15"/>
      <c r="O1100" s="15"/>
      <c r="P1100" s="15"/>
      <c r="Q1100" s="11"/>
      <c r="R1100" s="11"/>
      <c r="S1100" s="11"/>
      <c r="T1100" s="11"/>
      <c r="U1100" s="15"/>
      <c r="V1100" s="11"/>
      <c r="W1100" s="11"/>
      <c r="X1100" s="11"/>
      <c r="Y1100" s="11"/>
      <c r="Z1100" s="11"/>
    </row>
  </sheetData>
  <hyperlinks>
    <hyperlink r:id="rId1" ref="F4"/>
    <hyperlink r:id="rId2" ref="G4"/>
    <hyperlink r:id="rId3" ref="F5"/>
    <hyperlink r:id="rId4" ref="G5"/>
    <hyperlink r:id="rId5" ref="F7"/>
    <hyperlink r:id="rId6" ref="G7"/>
    <hyperlink r:id="rId7" ref="S10"/>
    <hyperlink r:id="rId8" ref="F11"/>
    <hyperlink r:id="rId9" ref="G11"/>
    <hyperlink r:id="rId10" ref="F14"/>
    <hyperlink r:id="rId11" ref="G14"/>
    <hyperlink r:id="rId12" ref="S14"/>
    <hyperlink r:id="rId13" ref="G15"/>
    <hyperlink r:id="rId14" ref="F16"/>
    <hyperlink r:id="rId15" ref="G16"/>
    <hyperlink r:id="rId16" ref="F17"/>
    <hyperlink r:id="rId17" ref="F18"/>
    <hyperlink r:id="rId18" ref="S19"/>
    <hyperlink r:id="rId19" ref="G20"/>
    <hyperlink r:id="rId20" ref="F21"/>
    <hyperlink r:id="rId21" ref="S23"/>
    <hyperlink r:id="rId22" ref="F24"/>
    <hyperlink r:id="rId23" ref="S27"/>
    <hyperlink r:id="rId24" ref="F28"/>
    <hyperlink r:id="rId25" ref="G28"/>
    <hyperlink r:id="rId26" ref="S30"/>
    <hyperlink r:id="rId27" ref="G33"/>
    <hyperlink r:id="rId28" ref="S36"/>
    <hyperlink r:id="rId29" ref="G37"/>
    <hyperlink r:id="rId30" ref="S37"/>
    <hyperlink r:id="rId31" ref="G38"/>
    <hyperlink r:id="rId32" ref="S40"/>
    <hyperlink r:id="rId33" ref="F41"/>
    <hyperlink r:id="rId34" ref="G42"/>
    <hyperlink r:id="rId35" ref="F43"/>
    <hyperlink r:id="rId36" ref="F44"/>
    <hyperlink r:id="rId37" ref="G44"/>
    <hyperlink r:id="rId38" ref="F46"/>
    <hyperlink r:id="rId39" ref="G46"/>
    <hyperlink r:id="rId40" ref="G47"/>
    <hyperlink r:id="rId41" ref="S47"/>
    <hyperlink r:id="rId42" ref="F48"/>
    <hyperlink r:id="rId43" ref="F50"/>
    <hyperlink r:id="rId44" ref="G50"/>
    <hyperlink r:id="rId45" ref="S50"/>
    <hyperlink r:id="rId46" ref="F51"/>
    <hyperlink r:id="rId47" ref="G51"/>
    <hyperlink r:id="rId48" ref="G52"/>
    <hyperlink r:id="rId49" ref="F53"/>
    <hyperlink r:id="rId50" ref="G53"/>
    <hyperlink r:id="rId51" ref="F54"/>
    <hyperlink r:id="rId52" ref="S55"/>
    <hyperlink r:id="rId53" ref="G56"/>
    <hyperlink r:id="rId54" ref="S58"/>
    <hyperlink r:id="rId55" ref="G60"/>
    <hyperlink r:id="rId56" ref="F65"/>
    <hyperlink r:id="rId57" ref="G65"/>
    <hyperlink r:id="rId58" ref="S66"/>
    <hyperlink r:id="rId59" ref="G67"/>
    <hyperlink r:id="rId60" ref="F68"/>
    <hyperlink r:id="rId61" ref="G68"/>
    <hyperlink r:id="rId62" ref="S68"/>
    <hyperlink r:id="rId63" ref="F70"/>
    <hyperlink r:id="rId64" ref="G70"/>
    <hyperlink r:id="rId65" ref="S70"/>
    <hyperlink r:id="rId66" ref="F72"/>
    <hyperlink r:id="rId67" ref="G72"/>
    <hyperlink r:id="rId68" ref="F73"/>
    <hyperlink r:id="rId69" ref="S73"/>
    <hyperlink r:id="rId70" ref="F74"/>
    <hyperlink r:id="rId71" ref="G74"/>
    <hyperlink r:id="rId72" ref="F75"/>
    <hyperlink r:id="rId73" ref="S75"/>
    <hyperlink r:id="rId74" ref="G77"/>
    <hyperlink r:id="rId75" ref="S79"/>
    <hyperlink r:id="rId76" ref="F82"/>
    <hyperlink r:id="rId77" ref="G82"/>
    <hyperlink r:id="rId78" ref="S82"/>
    <hyperlink r:id="rId79" ref="F83"/>
    <hyperlink r:id="rId80" ref="F85"/>
    <hyperlink r:id="rId81" ref="G85"/>
    <hyperlink r:id="rId82" ref="S87"/>
    <hyperlink r:id="rId83" ref="F88"/>
    <hyperlink r:id="rId84" ref="G88"/>
    <hyperlink r:id="rId85" ref="S88"/>
    <hyperlink r:id="rId86" ref="G89"/>
    <hyperlink r:id="rId87" ref="S89"/>
    <hyperlink r:id="rId88" ref="G90"/>
    <hyperlink r:id="rId89" ref="G92"/>
    <hyperlink r:id="rId90" ref="S93"/>
    <hyperlink r:id="rId91" ref="F96"/>
    <hyperlink r:id="rId92" ref="S96"/>
    <hyperlink r:id="rId93" ref="F97"/>
    <hyperlink r:id="rId94" ref="G97"/>
    <hyperlink r:id="rId95" ref="S97"/>
    <hyperlink r:id="rId96" ref="F98"/>
    <hyperlink r:id="rId97" ref="S98"/>
    <hyperlink r:id="rId98" ref="F100"/>
  </hyperlinks>
  <drawing r:id="rId99"/>
  <tableParts count="1">
    <tablePart r:id="rId1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 width="15.86"/>
    <col customWidth="1" min="3" max="3" width="21.57"/>
    <col customWidth="1" min="4" max="4" width="43.0"/>
    <col customWidth="1" min="5" max="5" width="18.71"/>
    <col customWidth="1" min="6" max="6" width="21.57"/>
  </cols>
  <sheetData>
    <row r="1" ht="24.0" customHeight="1">
      <c r="A1" s="1"/>
      <c r="B1" s="2" t="s">
        <v>829</v>
      </c>
      <c r="C1" s="3"/>
      <c r="D1" s="3"/>
      <c r="E1" s="3"/>
      <c r="F1" s="3"/>
      <c r="G1" s="3"/>
      <c r="H1" s="3"/>
      <c r="I1" s="3"/>
      <c r="J1" s="3"/>
      <c r="K1" s="3"/>
      <c r="L1" s="4"/>
      <c r="M1" s="4"/>
      <c r="N1" s="4"/>
      <c r="O1" s="4"/>
      <c r="P1" s="4"/>
      <c r="Q1" s="3"/>
      <c r="R1" s="3"/>
      <c r="S1" s="3"/>
      <c r="T1" s="3"/>
      <c r="U1" s="4"/>
      <c r="V1" s="3"/>
      <c r="W1" s="3"/>
      <c r="X1" s="3"/>
      <c r="Y1" s="3"/>
      <c r="Z1" s="3"/>
    </row>
    <row r="2" ht="24.0" customHeight="1">
      <c r="A2" s="5" t="s">
        <v>1</v>
      </c>
      <c r="B2" s="6" t="s">
        <v>2</v>
      </c>
      <c r="C2" s="6" t="s">
        <v>3</v>
      </c>
      <c r="D2" s="6" t="s">
        <v>4</v>
      </c>
      <c r="E2" s="6" t="s">
        <v>5</v>
      </c>
      <c r="F2" s="6" t="s">
        <v>6</v>
      </c>
      <c r="G2" s="6" t="s">
        <v>7</v>
      </c>
      <c r="H2" s="6" t="s">
        <v>8</v>
      </c>
      <c r="I2" s="6" t="s">
        <v>9</v>
      </c>
      <c r="J2" s="6" t="s">
        <v>10</v>
      </c>
      <c r="K2" s="6" t="s">
        <v>11</v>
      </c>
      <c r="L2" s="5" t="s">
        <v>12</v>
      </c>
      <c r="M2" s="5" t="s">
        <v>13</v>
      </c>
      <c r="N2" s="5" t="s">
        <v>14</v>
      </c>
      <c r="O2" s="5" t="s">
        <v>15</v>
      </c>
      <c r="P2" s="5" t="s">
        <v>16</v>
      </c>
      <c r="Q2" s="6" t="s">
        <v>8</v>
      </c>
      <c r="R2" s="6" t="s">
        <v>17</v>
      </c>
      <c r="S2" s="6" t="s">
        <v>18</v>
      </c>
      <c r="T2" s="6" t="s">
        <v>19</v>
      </c>
      <c r="U2" s="5" t="s">
        <v>20</v>
      </c>
      <c r="V2" s="7"/>
      <c r="W2" s="7"/>
      <c r="X2" s="7"/>
      <c r="Y2" s="7"/>
      <c r="Z2" s="7"/>
    </row>
    <row r="3">
      <c r="A3" s="8">
        <v>44222.37287037037</v>
      </c>
      <c r="B3" s="9" t="str">
        <f>HYPERLINK("https://twitter.com/cafeinomanoX","@cafeinomanoX")</f>
        <v>@cafeinomanoX</v>
      </c>
      <c r="C3" s="10" t="s">
        <v>421</v>
      </c>
      <c r="D3" s="10" t="s">
        <v>422</v>
      </c>
      <c r="E3" s="9" t="str">
        <f>HYPERLINK("https://twitter.com/cafeinomanoX/status/1354111087474585612","1354111087474585612")</f>
        <v>1354111087474585612</v>
      </c>
      <c r="F3" s="12" t="s">
        <v>423</v>
      </c>
      <c r="G3" s="12" t="s">
        <v>424</v>
      </c>
      <c r="H3" s="11"/>
      <c r="I3" s="13">
        <v>0.0</v>
      </c>
      <c r="J3" s="13">
        <v>2.0</v>
      </c>
      <c r="K3" s="9" t="str">
        <f>HYPERLINK("http://twitter.com/download/android","Twitter for Android")</f>
        <v>Twitter for Android</v>
      </c>
      <c r="L3" s="14">
        <v>1084.0</v>
      </c>
      <c r="M3" s="14">
        <v>1085.0</v>
      </c>
      <c r="N3" s="14">
        <v>0.0</v>
      </c>
      <c r="O3" s="15"/>
      <c r="P3" s="16">
        <v>42233.071284722224</v>
      </c>
      <c r="Q3" s="10" t="s">
        <v>425</v>
      </c>
      <c r="R3" s="10" t="s">
        <v>426</v>
      </c>
      <c r="S3" s="11"/>
      <c r="T3" s="11"/>
      <c r="U3" s="17" t="str">
        <f>HYPERLINK("https://pbs.twimg.com/profile_images/1353343567171883009/0X1kCweo.jpg","View")</f>
        <v>View</v>
      </c>
      <c r="V3" s="11"/>
      <c r="W3" s="11"/>
      <c r="X3" s="11"/>
      <c r="Y3" s="11"/>
      <c r="Z3" s="11"/>
    </row>
    <row r="4">
      <c r="A4" s="8">
        <v>44222.32815972222</v>
      </c>
      <c r="B4" s="9" t="str">
        <f>HYPERLINK("https://twitter.com/Badsport_Javi","@Badsport_Javi")</f>
        <v>@Badsport_Javi</v>
      </c>
      <c r="C4" s="10" t="s">
        <v>482</v>
      </c>
      <c r="D4" s="10" t="s">
        <v>483</v>
      </c>
      <c r="E4" s="9" t="str">
        <f>HYPERLINK("https://twitter.com/Badsport_Javi/status/1354094884748206080","1354094884748206080")</f>
        <v>1354094884748206080</v>
      </c>
      <c r="F4" s="12" t="s">
        <v>484</v>
      </c>
      <c r="G4" s="11"/>
      <c r="H4" s="11"/>
      <c r="I4" s="13">
        <v>0.0</v>
      </c>
      <c r="J4" s="13">
        <v>1.0</v>
      </c>
      <c r="K4" s="9" t="str">
        <f>HYPERLINK("https://mobile.twitter.com","Twitter Web App")</f>
        <v>Twitter Web App</v>
      </c>
      <c r="L4" s="14">
        <v>82.0</v>
      </c>
      <c r="M4" s="14">
        <v>141.0</v>
      </c>
      <c r="N4" s="14">
        <v>0.0</v>
      </c>
      <c r="O4" s="15"/>
      <c r="P4" s="16">
        <v>44198.16903935185</v>
      </c>
      <c r="Q4" s="10" t="s">
        <v>485</v>
      </c>
      <c r="R4" s="10" t="s">
        <v>486</v>
      </c>
      <c r="S4" s="11"/>
      <c r="T4" s="11"/>
      <c r="U4" s="17" t="str">
        <f>HYPERLINK("https://pbs.twimg.com/profile_images/1346098406738055175/lNSv8VTs.jpg","View")</f>
        <v>View</v>
      </c>
      <c r="V4" s="11"/>
      <c r="W4" s="11"/>
      <c r="X4" s="11"/>
      <c r="Y4" s="11"/>
      <c r="Z4" s="11"/>
    </row>
    <row r="5">
      <c r="A5" s="8">
        <v>44222.026400462964</v>
      </c>
      <c r="B5" s="9" t="str">
        <f>HYPERLINK("https://twitter.com/WestJail","@WestJail")</f>
        <v>@WestJail</v>
      </c>
      <c r="C5" s="10" t="s">
        <v>567</v>
      </c>
      <c r="D5" s="10" t="s">
        <v>568</v>
      </c>
      <c r="E5" s="9" t="str">
        <f>HYPERLINK("https://twitter.com/WestJail/status/1353985531290529792","1353985531290529792")</f>
        <v>1353985531290529792</v>
      </c>
      <c r="F5" s="12" t="s">
        <v>569</v>
      </c>
      <c r="G5" s="12" t="s">
        <v>570</v>
      </c>
      <c r="H5" s="11"/>
      <c r="I5" s="13">
        <v>0.0</v>
      </c>
      <c r="J5" s="13">
        <v>0.0</v>
      </c>
      <c r="K5" s="9" t="str">
        <f>HYPERLINK("http://twitter.com/download/iphone","Twitter for iPhone")</f>
        <v>Twitter for iPhone</v>
      </c>
      <c r="L5" s="14">
        <v>144.0</v>
      </c>
      <c r="M5" s="14">
        <v>192.0</v>
      </c>
      <c r="N5" s="14">
        <v>0.0</v>
      </c>
      <c r="O5" s="15"/>
      <c r="P5" s="16">
        <v>44149.56240740741</v>
      </c>
      <c r="Q5" s="10" t="s">
        <v>571</v>
      </c>
      <c r="R5" s="11"/>
      <c r="S5" s="11"/>
      <c r="T5" s="11"/>
      <c r="U5" s="17" t="str">
        <f>HYPERLINK("https://pbs.twimg.com/profile_images/1352006135700746241/A4T7xhwP.jpg","View")</f>
        <v>View</v>
      </c>
      <c r="V5" s="11"/>
      <c r="W5" s="11"/>
      <c r="X5" s="11"/>
      <c r="Y5" s="11"/>
      <c r="Z5" s="11"/>
    </row>
    <row r="6">
      <c r="A6" s="8">
        <v>44221.92375</v>
      </c>
      <c r="B6" s="9" t="str">
        <f>HYPERLINK("https://twitter.com/_Keninixsiempre","@_Keninixsiempre")</f>
        <v>@_Keninixsiempre</v>
      </c>
      <c r="C6" s="10" t="s">
        <v>587</v>
      </c>
      <c r="D6" s="10" t="s">
        <v>588</v>
      </c>
      <c r="E6" s="9" t="str">
        <f>HYPERLINK("https://twitter.com/_Keninixsiempre/status/1353948334596231173","1353948334596231173")</f>
        <v>1353948334596231173</v>
      </c>
      <c r="F6" s="12" t="s">
        <v>589</v>
      </c>
      <c r="G6" s="11"/>
      <c r="H6" s="11"/>
      <c r="I6" s="13">
        <v>1.0</v>
      </c>
      <c r="J6" s="13">
        <v>6.0</v>
      </c>
      <c r="K6" s="9" t="str">
        <f>HYPERLINK("http://twitter.com/download/android","Twitter for Android")</f>
        <v>Twitter for Android</v>
      </c>
      <c r="L6" s="14">
        <v>2468.0</v>
      </c>
      <c r="M6" s="14">
        <v>2393.0</v>
      </c>
      <c r="N6" s="14">
        <v>0.0</v>
      </c>
      <c r="O6" s="15"/>
      <c r="P6" s="16">
        <v>44013.581041666665</v>
      </c>
      <c r="Q6" s="11"/>
      <c r="R6" s="11"/>
      <c r="S6" s="11"/>
      <c r="T6" s="11"/>
      <c r="U6" s="17" t="str">
        <f>HYPERLINK("https://pbs.twimg.com/profile_images/1353777299288707073/VwNp59FE.jpg","View")</f>
        <v>View</v>
      </c>
      <c r="V6" s="11"/>
      <c r="W6" s="11"/>
      <c r="X6" s="11"/>
      <c r="Y6" s="11"/>
      <c r="Z6" s="11"/>
    </row>
    <row r="7">
      <c r="A7" s="8">
        <v>44221.79040509259</v>
      </c>
      <c r="B7" s="9" t="str">
        <f>HYPERLINK("https://twitter.com/soyeddgars","@soyeddgars")</f>
        <v>@soyeddgars</v>
      </c>
      <c r="C7" s="10" t="s">
        <v>634</v>
      </c>
      <c r="D7" s="10" t="s">
        <v>635</v>
      </c>
      <c r="E7" s="9" t="str">
        <f>HYPERLINK("https://twitter.com/soyeddgars/status/1353900012556570625","1353900012556570625")</f>
        <v>1353900012556570625</v>
      </c>
      <c r="F7" s="11"/>
      <c r="G7" s="11"/>
      <c r="H7" s="11"/>
      <c r="I7" s="13">
        <v>0.0</v>
      </c>
      <c r="J7" s="13">
        <v>0.0</v>
      </c>
      <c r="K7" s="9" t="str">
        <f>HYPERLINK("http://twitter.com/download/iphone","Twitter for iPhone")</f>
        <v>Twitter for iPhone</v>
      </c>
      <c r="L7" s="14">
        <v>31.0</v>
      </c>
      <c r="M7" s="14">
        <v>78.0</v>
      </c>
      <c r="N7" s="14">
        <v>0.0</v>
      </c>
      <c r="O7" s="15"/>
      <c r="P7" s="16">
        <v>44043.45649305556</v>
      </c>
      <c r="Q7" s="10" t="s">
        <v>327</v>
      </c>
      <c r="R7" s="10" t="s">
        <v>636</v>
      </c>
      <c r="S7" s="12" t="s">
        <v>637</v>
      </c>
      <c r="T7" s="11"/>
      <c r="U7" s="17" t="str">
        <f>HYPERLINK("https://pbs.twimg.com/profile_images/1289259042167283714/m71INvEQ.jpg","View")</f>
        <v>View</v>
      </c>
      <c r="V7" s="11"/>
      <c r="W7" s="11"/>
      <c r="X7" s="11"/>
      <c r="Y7" s="11"/>
      <c r="Z7" s="11"/>
    </row>
    <row r="8">
      <c r="A8" s="8">
        <v>44221.62094907407</v>
      </c>
      <c r="B8" s="9" t="str">
        <f>HYPERLINK("https://twitter.com/CamelEspecias","@CamelEspecias")</f>
        <v>@CamelEspecias</v>
      </c>
      <c r="C8" s="10" t="s">
        <v>717</v>
      </c>
      <c r="D8" s="10" t="s">
        <v>725</v>
      </c>
      <c r="E8" s="9" t="str">
        <f>HYPERLINK("https://twitter.com/CamelEspecias/status/1353838601017110530","1353838601017110530")</f>
        <v>1353838601017110530</v>
      </c>
      <c r="F8" s="11"/>
      <c r="G8" s="11"/>
      <c r="H8" s="11"/>
      <c r="I8" s="13">
        <v>0.0</v>
      </c>
      <c r="J8" s="13">
        <v>0.0</v>
      </c>
      <c r="K8" s="9" t="str">
        <f t="shared" ref="K8:K10" si="1">HYPERLINK("http://twitter.com/download/android","Twitter for Android")</f>
        <v>Twitter for Android</v>
      </c>
      <c r="L8" s="14">
        <v>227.0</v>
      </c>
      <c r="M8" s="14">
        <v>98.0</v>
      </c>
      <c r="N8" s="14">
        <v>0.0</v>
      </c>
      <c r="O8" s="15"/>
      <c r="P8" s="16">
        <v>44185.712592592594</v>
      </c>
      <c r="Q8" s="11"/>
      <c r="R8" s="10" t="s">
        <v>719</v>
      </c>
      <c r="S8" s="11"/>
      <c r="T8" s="11"/>
      <c r="U8" s="17" t="str">
        <f>HYPERLINK("https://pbs.twimg.com/profile_images/1348345966496256001/xkKfEME1.jpg","View")</f>
        <v>View</v>
      </c>
      <c r="V8" s="11"/>
      <c r="W8" s="11"/>
      <c r="X8" s="11"/>
      <c r="Y8" s="11"/>
      <c r="Z8" s="11"/>
    </row>
    <row r="9">
      <c r="A9" s="8">
        <v>44221.570138888885</v>
      </c>
      <c r="B9" s="9" t="str">
        <f>HYPERLINK("https://twitter.com/Pepiner_MR","@Pepiner_MR")</f>
        <v>@Pepiner_MR</v>
      </c>
      <c r="C9" s="10" t="s">
        <v>746</v>
      </c>
      <c r="D9" s="10" t="s">
        <v>747</v>
      </c>
      <c r="E9" s="9" t="str">
        <f>HYPERLINK("https://twitter.com/Pepiner_MR/status/1353820190878916609","1353820190878916609")</f>
        <v>1353820190878916609</v>
      </c>
      <c r="F9" s="12" t="s">
        <v>748</v>
      </c>
      <c r="G9" s="10" t="s">
        <v>749</v>
      </c>
      <c r="H9" s="11"/>
      <c r="I9" s="13">
        <v>0.0</v>
      </c>
      <c r="J9" s="13">
        <v>15.0</v>
      </c>
      <c r="K9" s="9" t="str">
        <f t="shared" si="1"/>
        <v>Twitter for Android</v>
      </c>
      <c r="L9" s="14">
        <v>392.0</v>
      </c>
      <c r="M9" s="14">
        <v>307.0</v>
      </c>
      <c r="N9" s="14">
        <v>12.0</v>
      </c>
      <c r="O9" s="15"/>
      <c r="P9" s="16">
        <v>41453.547743055555</v>
      </c>
      <c r="Q9" s="11"/>
      <c r="R9" s="10" t="s">
        <v>750</v>
      </c>
      <c r="S9" s="11"/>
      <c r="T9" s="11"/>
      <c r="U9" s="17" t="str">
        <f>HYPERLINK("https://pbs.twimg.com/profile_images/1342037426974449670/C745I0rV.jpg","View")</f>
        <v>View</v>
      </c>
      <c r="V9" s="11"/>
      <c r="W9" s="11"/>
      <c r="X9" s="11"/>
      <c r="Y9" s="11"/>
      <c r="Z9" s="11"/>
    </row>
    <row r="10">
      <c r="A10" s="8">
        <v>44220.58027777778</v>
      </c>
      <c r="B10" s="9" t="str">
        <f>HYPERLINK("https://twitter.com/yaizamacarrones","@yaizamacarrones")</f>
        <v>@yaizamacarrones</v>
      </c>
      <c r="C10" s="10" t="s">
        <v>830</v>
      </c>
      <c r="D10" s="10" t="s">
        <v>831</v>
      </c>
      <c r="E10" s="9" t="str">
        <f>HYPERLINK("https://twitter.com/yaizamacarrones/status/1353461477273980928","1353461477273980928")</f>
        <v>1353461477273980928</v>
      </c>
      <c r="F10" s="12" t="s">
        <v>832</v>
      </c>
      <c r="G10" s="12" t="s">
        <v>833</v>
      </c>
      <c r="H10" s="11"/>
      <c r="I10" s="13">
        <v>0.0</v>
      </c>
      <c r="J10" s="13">
        <v>2.0</v>
      </c>
      <c r="K10" s="9" t="str">
        <f t="shared" si="1"/>
        <v>Twitter for Android</v>
      </c>
      <c r="L10" s="14">
        <v>1366.0</v>
      </c>
      <c r="M10" s="14">
        <v>1258.0</v>
      </c>
      <c r="N10" s="14">
        <v>46.0</v>
      </c>
      <c r="O10" s="15"/>
      <c r="P10" s="16">
        <v>43239.36340277777</v>
      </c>
      <c r="Q10" s="10" t="s">
        <v>834</v>
      </c>
      <c r="R10" s="10" t="s">
        <v>835</v>
      </c>
      <c r="S10" s="11"/>
      <c r="T10" s="11"/>
      <c r="U10" s="17" t="str">
        <f>HYPERLINK("https://pbs.twimg.com/profile_images/1347631625065148422/itWvE-bt.jpg","View")</f>
        <v>View</v>
      </c>
      <c r="V10" s="11"/>
      <c r="W10" s="11"/>
      <c r="X10" s="11"/>
      <c r="Y10" s="11"/>
      <c r="Z10" s="11"/>
    </row>
    <row r="11">
      <c r="A11" s="8">
        <v>44220.56087962963</v>
      </c>
      <c r="B11" s="9" t="str">
        <f>HYPERLINK("https://twitter.com/Cruelladevil29","@Cruelladevil29")</f>
        <v>@Cruelladevil29</v>
      </c>
      <c r="C11" s="10" t="s">
        <v>836</v>
      </c>
      <c r="D11" s="10" t="s">
        <v>837</v>
      </c>
      <c r="E11" s="9" t="str">
        <f>HYPERLINK("https://twitter.com/Cruelladevil29/status/1353454446945198082","1353454446945198082")</f>
        <v>1353454446945198082</v>
      </c>
      <c r="F11" s="11"/>
      <c r="G11" s="12" t="s">
        <v>838</v>
      </c>
      <c r="H11" s="11"/>
      <c r="I11" s="13">
        <v>0.0</v>
      </c>
      <c r="J11" s="13">
        <v>0.0</v>
      </c>
      <c r="K11" s="9" t="str">
        <f t="shared" ref="K11:K12" si="2">HYPERLINK("http://twitter.com/download/iphone","Twitter for iPhone")</f>
        <v>Twitter for iPhone</v>
      </c>
      <c r="L11" s="14">
        <v>1172.0</v>
      </c>
      <c r="M11" s="14">
        <v>457.0</v>
      </c>
      <c r="N11" s="14">
        <v>9.0</v>
      </c>
      <c r="O11" s="15"/>
      <c r="P11" s="16">
        <v>43021.714467592596</v>
      </c>
      <c r="Q11" s="11"/>
      <c r="R11" s="11"/>
      <c r="S11" s="11"/>
      <c r="T11" s="11"/>
      <c r="U11" s="17" t="str">
        <f>HYPERLINK("https://pbs.twimg.com/profile_images/1132383298670465024/O3eHbdRq.jpg","View")</f>
        <v>View</v>
      </c>
      <c r="V11" s="11"/>
      <c r="W11" s="11"/>
      <c r="X11" s="11"/>
      <c r="Y11" s="11"/>
      <c r="Z11" s="11"/>
    </row>
    <row r="12">
      <c r="A12" s="8">
        <v>44219.54059027778</v>
      </c>
      <c r="B12" s="9" t="str">
        <f>HYPERLINK("https://twitter.com/putobin","@putobin")</f>
        <v>@putobin</v>
      </c>
      <c r="C12" s="10" t="s">
        <v>839</v>
      </c>
      <c r="D12" s="10" t="s">
        <v>840</v>
      </c>
      <c r="E12" s="9" t="str">
        <f>HYPERLINK("https://twitter.com/putobin/status/1353084707374817284","1353084707374817284")</f>
        <v>1353084707374817284</v>
      </c>
      <c r="F12" s="11"/>
      <c r="G12" s="11"/>
      <c r="H12" s="11"/>
      <c r="I12" s="13">
        <v>2.0</v>
      </c>
      <c r="J12" s="13">
        <v>24.0</v>
      </c>
      <c r="K12" s="9" t="str">
        <f t="shared" si="2"/>
        <v>Twitter for iPhone</v>
      </c>
      <c r="L12" s="14">
        <v>616.0</v>
      </c>
      <c r="M12" s="14">
        <v>837.0</v>
      </c>
      <c r="N12" s="14">
        <v>5.0</v>
      </c>
      <c r="O12" s="15"/>
      <c r="P12" s="16">
        <v>43931.57475694444</v>
      </c>
      <c r="Q12" s="11"/>
      <c r="R12" s="10" t="s">
        <v>841</v>
      </c>
      <c r="S12" s="11"/>
      <c r="T12" s="11"/>
      <c r="U12" s="17" t="str">
        <f>HYPERLINK("https://pbs.twimg.com/profile_images/1348952120704294913/uvXNJJVx.jpg","View")</f>
        <v>View</v>
      </c>
      <c r="V12" s="11"/>
      <c r="W12" s="11"/>
      <c r="X12" s="11"/>
      <c r="Y12" s="11"/>
      <c r="Z12" s="11"/>
    </row>
    <row r="13">
      <c r="A13" s="8">
        <v>44219.51179398148</v>
      </c>
      <c r="B13" s="9" t="str">
        <f>HYPERLINK("https://twitter.com/kooktev","@kooktev")</f>
        <v>@kooktev</v>
      </c>
      <c r="C13" s="10" t="s">
        <v>842</v>
      </c>
      <c r="D13" s="10" t="s">
        <v>843</v>
      </c>
      <c r="E13" s="9" t="str">
        <f>HYPERLINK("https://twitter.com/kooktev/status/1353074268037234699","1353074268037234699")</f>
        <v>1353074268037234699</v>
      </c>
      <c r="F13" s="12" t="s">
        <v>844</v>
      </c>
      <c r="G13" s="11"/>
      <c r="H13" s="11"/>
      <c r="I13" s="13">
        <v>0.0</v>
      </c>
      <c r="J13" s="13">
        <v>1.0</v>
      </c>
      <c r="K13" s="9" t="str">
        <f t="shared" ref="K13:K14" si="3">HYPERLINK("http://twitter.com/download/android","Twitter for Android")</f>
        <v>Twitter for Android</v>
      </c>
      <c r="L13" s="14">
        <v>1152.0</v>
      </c>
      <c r="M13" s="14">
        <v>242.0</v>
      </c>
      <c r="N13" s="14">
        <v>8.0</v>
      </c>
      <c r="O13" s="15"/>
      <c r="P13" s="16">
        <v>44118.50445601852</v>
      </c>
      <c r="Q13" s="10" t="s">
        <v>845</v>
      </c>
      <c r="R13" s="10" t="s">
        <v>846</v>
      </c>
      <c r="S13" s="12" t="s">
        <v>847</v>
      </c>
      <c r="T13" s="11"/>
      <c r="U13" s="17" t="str">
        <f>HYPERLINK("https://pbs.twimg.com/profile_images/1353963545633939456/bWpR05so.jpg","View")</f>
        <v>View</v>
      </c>
      <c r="V13" s="11"/>
      <c r="W13" s="11"/>
      <c r="X13" s="11"/>
      <c r="Y13" s="11"/>
      <c r="Z13" s="11"/>
    </row>
    <row r="14">
      <c r="A14" s="8">
        <v>44219.383356481485</v>
      </c>
      <c r="B14" s="9" t="str">
        <f>HYPERLINK("https://twitter.com/matute85811655","@matute85811655")</f>
        <v>@matute85811655</v>
      </c>
      <c r="C14" s="10" t="s">
        <v>848</v>
      </c>
      <c r="D14" s="10" t="s">
        <v>849</v>
      </c>
      <c r="E14" s="9" t="str">
        <f>HYPERLINK("https://twitter.com/matute85811655/status/1353027725913632770","1353027725913632770")</f>
        <v>1353027725913632770</v>
      </c>
      <c r="F14" s="12" t="s">
        <v>850</v>
      </c>
      <c r="G14" s="11"/>
      <c r="H14" s="11"/>
      <c r="I14" s="13">
        <v>0.0</v>
      </c>
      <c r="J14" s="13">
        <v>0.0</v>
      </c>
      <c r="K14" s="9" t="str">
        <f t="shared" si="3"/>
        <v>Twitter for Android</v>
      </c>
      <c r="L14" s="14">
        <v>1053.0</v>
      </c>
      <c r="M14" s="14">
        <v>1295.0</v>
      </c>
      <c r="N14" s="14">
        <v>0.0</v>
      </c>
      <c r="O14" s="15"/>
      <c r="P14" s="16">
        <v>44092.568402777775</v>
      </c>
      <c r="Q14" s="11"/>
      <c r="R14" s="10" t="s">
        <v>851</v>
      </c>
      <c r="S14" s="11"/>
      <c r="T14" s="11"/>
      <c r="U14" s="17" t="str">
        <f>HYPERLINK("https://pbs.twimg.com/profile_images/1307361965841551360/fE1hit6K.jpg","View")</f>
        <v>View</v>
      </c>
      <c r="V14" s="11"/>
      <c r="W14" s="11"/>
      <c r="X14" s="11"/>
      <c r="Y14" s="11"/>
      <c r="Z14" s="11"/>
    </row>
    <row r="15">
      <c r="A15" s="8">
        <v>44219.36075231481</v>
      </c>
      <c r="B15" s="9" t="str">
        <f>HYPERLINK("https://twitter.com/PuntaLeyend","@PuntaLeyend")</f>
        <v>@PuntaLeyend</v>
      </c>
      <c r="C15" s="10" t="s">
        <v>852</v>
      </c>
      <c r="D15" s="10" t="s">
        <v>853</v>
      </c>
      <c r="E15" s="9" t="str">
        <f>HYPERLINK("https://twitter.com/PuntaLeyend/status/1353019536270905345","1353019536270905345")</f>
        <v>1353019536270905345</v>
      </c>
      <c r="F15" s="11"/>
      <c r="G15" s="12" t="s">
        <v>854</v>
      </c>
      <c r="H15" s="11"/>
      <c r="I15" s="13">
        <v>398.0</v>
      </c>
      <c r="J15" s="13">
        <v>1642.0</v>
      </c>
      <c r="K15" s="9" t="str">
        <f>HYPERLINK("https://mobile.twitter.com","Twitter Web App")</f>
        <v>Twitter Web App</v>
      </c>
      <c r="L15" s="14">
        <v>18214.0</v>
      </c>
      <c r="M15" s="14">
        <v>198.0</v>
      </c>
      <c r="N15" s="14">
        <v>36.0</v>
      </c>
      <c r="O15" s="15"/>
      <c r="P15" s="16">
        <v>44161.52403935185</v>
      </c>
      <c r="Q15" s="11"/>
      <c r="R15" s="10" t="s">
        <v>855</v>
      </c>
      <c r="S15" s="11"/>
      <c r="T15" s="11"/>
      <c r="U15" s="17" t="str">
        <f>HYPERLINK("https://pbs.twimg.com/profile_images/1341545757007069184/2QwHtc1G.jpg","View")</f>
        <v>View</v>
      </c>
      <c r="V15" s="11"/>
      <c r="W15" s="11"/>
      <c r="X15" s="11"/>
      <c r="Y15" s="11"/>
      <c r="Z15" s="11"/>
    </row>
    <row r="16">
      <c r="A16" s="8">
        <v>44219.32469907407</v>
      </c>
      <c r="B16" s="9" t="str">
        <f>HYPERLINK("https://twitter.com/oak_blanco","@oak_blanco")</f>
        <v>@oak_blanco</v>
      </c>
      <c r="C16" s="10" t="s">
        <v>856</v>
      </c>
      <c r="D16" s="10" t="s">
        <v>857</v>
      </c>
      <c r="E16" s="9" t="str">
        <f>HYPERLINK("https://twitter.com/oak_blanco/status/1353006469218787328","1353006469218787328")</f>
        <v>1353006469218787328</v>
      </c>
      <c r="F16" s="11"/>
      <c r="G16" s="11"/>
      <c r="H16" s="11"/>
      <c r="I16" s="13">
        <v>0.0</v>
      </c>
      <c r="J16" s="13">
        <v>1.0</v>
      </c>
      <c r="K16" s="9" t="str">
        <f>HYPERLINK("http://twitter.com/download/android","Twitter for Android")</f>
        <v>Twitter for Android</v>
      </c>
      <c r="L16" s="14">
        <v>3658.0</v>
      </c>
      <c r="M16" s="14">
        <v>2239.0</v>
      </c>
      <c r="N16" s="14">
        <v>35.0</v>
      </c>
      <c r="O16" s="15"/>
      <c r="P16" s="16">
        <v>40681.17425925926</v>
      </c>
      <c r="Q16" s="10" t="s">
        <v>858</v>
      </c>
      <c r="R16" s="10" t="s">
        <v>859</v>
      </c>
      <c r="S16" s="11"/>
      <c r="T16" s="11"/>
      <c r="U16" s="17" t="str">
        <f>HYPERLINK("https://pbs.twimg.com/profile_images/1347664512606998531/gcRo34iY.jpg","View")</f>
        <v>View</v>
      </c>
      <c r="V16" s="11"/>
      <c r="W16" s="11"/>
      <c r="X16" s="11"/>
      <c r="Y16" s="11"/>
      <c r="Z16" s="11"/>
    </row>
    <row r="17">
      <c r="A17" s="8">
        <v>44219.25680555556</v>
      </c>
      <c r="B17" s="9" t="str">
        <f>HYPERLINK("https://twitter.com/17Naxx","@17Naxx")</f>
        <v>@17Naxx</v>
      </c>
      <c r="C17" s="10" t="s">
        <v>860</v>
      </c>
      <c r="D17" s="10" t="s">
        <v>861</v>
      </c>
      <c r="E17" s="9" t="str">
        <f>HYPERLINK("https://twitter.com/17Naxx/status/1352981863967715328","1352981863967715328")</f>
        <v>1352981863967715328</v>
      </c>
      <c r="F17" s="11"/>
      <c r="G17" s="11"/>
      <c r="H17" s="11"/>
      <c r="I17" s="13">
        <v>0.0</v>
      </c>
      <c r="J17" s="13">
        <v>1.0</v>
      </c>
      <c r="K17" s="9" t="str">
        <f>HYPERLINK("http://twitter.com/download/iphone","Twitter for iPhone")</f>
        <v>Twitter for iPhone</v>
      </c>
      <c r="L17" s="14">
        <v>387.0</v>
      </c>
      <c r="M17" s="14">
        <v>290.0</v>
      </c>
      <c r="N17" s="14">
        <v>9.0</v>
      </c>
      <c r="O17" s="15"/>
      <c r="P17" s="16">
        <v>44160.44428240741</v>
      </c>
      <c r="Q17" s="11"/>
      <c r="R17" s="10" t="s">
        <v>862</v>
      </c>
      <c r="S17" s="12" t="s">
        <v>863</v>
      </c>
      <c r="T17" s="11"/>
      <c r="U17" s="17" t="str">
        <f>HYPERLINK("https://pbs.twimg.com/profile_images/1351572109408006146/oP5bHe-M.jpg","View")</f>
        <v>View</v>
      </c>
      <c r="V17" s="11"/>
      <c r="W17" s="11"/>
      <c r="X17" s="11"/>
      <c r="Y17" s="11"/>
      <c r="Z17" s="11"/>
    </row>
    <row r="18">
      <c r="A18" s="8">
        <v>44219.08864583333</v>
      </c>
      <c r="B18" s="9" t="str">
        <f>HYPERLINK("https://twitter.com/nahlluli","@nahlluli")</f>
        <v>@nahlluli</v>
      </c>
      <c r="C18" s="10" t="s">
        <v>864</v>
      </c>
      <c r="D18" s="10" t="s">
        <v>865</v>
      </c>
      <c r="E18" s="9" t="str">
        <f>HYPERLINK("https://twitter.com/nahlluli/status/1352920927009386496","1352920927009386496")</f>
        <v>1352920927009386496</v>
      </c>
      <c r="F18" s="11"/>
      <c r="G18" s="11"/>
      <c r="H18" s="11"/>
      <c r="I18" s="13">
        <v>0.0</v>
      </c>
      <c r="J18" s="13">
        <v>2.0</v>
      </c>
      <c r="K18" s="9" t="str">
        <f>HYPERLINK("http://twitter.com/download/android","Twitter for Android")</f>
        <v>Twitter for Android</v>
      </c>
      <c r="L18" s="14">
        <v>26.0</v>
      </c>
      <c r="M18" s="14">
        <v>98.0</v>
      </c>
      <c r="N18" s="14">
        <v>0.0</v>
      </c>
      <c r="O18" s="15"/>
      <c r="P18" s="16">
        <v>44069.05841435185</v>
      </c>
      <c r="Q18" s="10" t="s">
        <v>866</v>
      </c>
      <c r="R18" s="10" t="s">
        <v>867</v>
      </c>
      <c r="S18" s="12" t="s">
        <v>868</v>
      </c>
      <c r="T18" s="11"/>
      <c r="U18" s="17" t="str">
        <f>HYPERLINK("https://pbs.twimg.com/profile_images/1352532142757212160/BdiXrRgA.jpg","View")</f>
        <v>View</v>
      </c>
      <c r="V18" s="11"/>
      <c r="W18" s="11"/>
      <c r="X18" s="11"/>
      <c r="Y18" s="11"/>
      <c r="Z18" s="11"/>
    </row>
    <row r="19">
      <c r="A19" s="8">
        <v>44218.8487962963</v>
      </c>
      <c r="B19" s="9" t="str">
        <f>HYPERLINK("https://twitter.com/DeDLuNo","@DeDLuNo")</f>
        <v>@DeDLuNo</v>
      </c>
      <c r="C19" s="10" t="s">
        <v>869</v>
      </c>
      <c r="D19" s="10" t="s">
        <v>870</v>
      </c>
      <c r="E19" s="9" t="str">
        <f>HYPERLINK("https://twitter.com/DeDLuNo/status/1352834007432634369","1352834007432634369")</f>
        <v>1352834007432634369</v>
      </c>
      <c r="F19" s="11"/>
      <c r="G19" s="11"/>
      <c r="H19" s="11"/>
      <c r="I19" s="13">
        <v>0.0</v>
      </c>
      <c r="J19" s="13">
        <v>0.0</v>
      </c>
      <c r="K19" s="9" t="str">
        <f>HYPERLINK("http://twitter.com/download/iphone","Twitter for iPhone")</f>
        <v>Twitter for iPhone</v>
      </c>
      <c r="L19" s="14">
        <v>20.0</v>
      </c>
      <c r="M19" s="14">
        <v>25.0</v>
      </c>
      <c r="N19" s="14">
        <v>0.0</v>
      </c>
      <c r="O19" s="15"/>
      <c r="P19" s="16">
        <v>42267.93033564815</v>
      </c>
      <c r="Q19" s="11"/>
      <c r="R19" s="11"/>
      <c r="S19" s="11"/>
      <c r="T19" s="11"/>
      <c r="U19" s="17" t="str">
        <f>HYPERLINK("https://pbs.twimg.com/profile_images/1316260252422078464/EIFNWAlg.jpg","View")</f>
        <v>View</v>
      </c>
      <c r="V19" s="11"/>
      <c r="W19" s="11"/>
      <c r="X19" s="11"/>
      <c r="Y19" s="11"/>
      <c r="Z19" s="11"/>
    </row>
    <row r="20">
      <c r="A20" s="8">
        <v>44218.83640046296</v>
      </c>
      <c r="B20" s="9" t="str">
        <f>HYPERLINK("https://twitter.com/moonmewx","@moonmewx")</f>
        <v>@moonmewx</v>
      </c>
      <c r="C20" s="10" t="s">
        <v>871</v>
      </c>
      <c r="D20" s="10" t="s">
        <v>872</v>
      </c>
      <c r="E20" s="9" t="str">
        <f>HYPERLINK("https://twitter.com/moonmewx/status/1352829514041208834","1352829514041208834")</f>
        <v>1352829514041208834</v>
      </c>
      <c r="F20" s="12" t="s">
        <v>873</v>
      </c>
      <c r="G20" s="12" t="s">
        <v>874</v>
      </c>
      <c r="H20" s="11"/>
      <c r="I20" s="13">
        <v>0.0</v>
      </c>
      <c r="J20" s="13">
        <v>1.0</v>
      </c>
      <c r="K20" s="9" t="str">
        <f t="shared" ref="K20:K27" si="4">HYPERLINK("http://twitter.com/download/android","Twitter for Android")</f>
        <v>Twitter for Android</v>
      </c>
      <c r="L20" s="14">
        <v>1416.0</v>
      </c>
      <c r="M20" s="14">
        <v>1196.0</v>
      </c>
      <c r="N20" s="14">
        <v>29.0</v>
      </c>
      <c r="O20" s="15"/>
      <c r="P20" s="16">
        <v>43973.571388888886</v>
      </c>
      <c r="Q20" s="10" t="s">
        <v>875</v>
      </c>
      <c r="R20" s="10" t="s">
        <v>876</v>
      </c>
      <c r="S20" s="12" t="s">
        <v>877</v>
      </c>
      <c r="T20" s="11"/>
      <c r="U20" s="17" t="str">
        <f>HYPERLINK("https://pbs.twimg.com/profile_images/1345146156444217345/ceUf5L5o.jpg","View")</f>
        <v>View</v>
      </c>
      <c r="V20" s="11"/>
      <c r="W20" s="11"/>
      <c r="X20" s="11"/>
      <c r="Y20" s="11"/>
      <c r="Z20" s="11"/>
    </row>
    <row r="21">
      <c r="A21" s="8">
        <v>44218.781331018516</v>
      </c>
      <c r="B21" s="9" t="str">
        <f>HYPERLINK("https://twitter.com/lesbianalba","@lesbianalba")</f>
        <v>@lesbianalba</v>
      </c>
      <c r="C21" s="10" t="s">
        <v>878</v>
      </c>
      <c r="D21" s="10" t="s">
        <v>879</v>
      </c>
      <c r="E21" s="9" t="str">
        <f>HYPERLINK("https://twitter.com/lesbianalba/status/1352809558226444288","1352809558226444288")</f>
        <v>1352809558226444288</v>
      </c>
      <c r="F21" s="12" t="s">
        <v>873</v>
      </c>
      <c r="G21" s="11"/>
      <c r="H21" s="11"/>
      <c r="I21" s="13">
        <v>0.0</v>
      </c>
      <c r="J21" s="13">
        <v>7.0</v>
      </c>
      <c r="K21" s="9" t="str">
        <f t="shared" si="4"/>
        <v>Twitter for Android</v>
      </c>
      <c r="L21" s="14">
        <v>1299.0</v>
      </c>
      <c r="M21" s="14">
        <v>247.0</v>
      </c>
      <c r="N21" s="14">
        <v>32.0</v>
      </c>
      <c r="O21" s="15"/>
      <c r="P21" s="16">
        <v>43399.782789351855</v>
      </c>
      <c r="Q21" s="11"/>
      <c r="R21" s="10" t="s">
        <v>880</v>
      </c>
      <c r="S21" s="12" t="s">
        <v>881</v>
      </c>
      <c r="T21" s="11"/>
      <c r="U21" s="17" t="str">
        <f>HYPERLINK("https://pbs.twimg.com/profile_images/1344638175289823233/kBVaSx7R.jpg","View")</f>
        <v>View</v>
      </c>
      <c r="V21" s="11"/>
      <c r="W21" s="11"/>
      <c r="X21" s="11"/>
      <c r="Y21" s="11"/>
      <c r="Z21" s="11"/>
    </row>
    <row r="22">
      <c r="A22" s="8">
        <v>44218.74927083333</v>
      </c>
      <c r="B22" s="9" t="str">
        <f>HYPERLINK("https://twitter.com/crandiosa","@crandiosa")</f>
        <v>@crandiosa</v>
      </c>
      <c r="C22" s="10" t="s">
        <v>882</v>
      </c>
      <c r="D22" s="10" t="s">
        <v>883</v>
      </c>
      <c r="E22" s="9" t="str">
        <f>HYPERLINK("https://twitter.com/crandiosa/status/1352797938918043649","1352797938918043649")</f>
        <v>1352797938918043649</v>
      </c>
      <c r="F22" s="12" t="s">
        <v>873</v>
      </c>
      <c r="G22" s="11"/>
      <c r="H22" s="11"/>
      <c r="I22" s="13">
        <v>0.0</v>
      </c>
      <c r="J22" s="13">
        <v>0.0</v>
      </c>
      <c r="K22" s="9" t="str">
        <f t="shared" si="4"/>
        <v>Twitter for Android</v>
      </c>
      <c r="L22" s="14">
        <v>532.0</v>
      </c>
      <c r="M22" s="14">
        <v>353.0</v>
      </c>
      <c r="N22" s="14">
        <v>0.0</v>
      </c>
      <c r="O22" s="15"/>
      <c r="P22" s="16">
        <v>43245.862384259264</v>
      </c>
      <c r="Q22" s="10" t="s">
        <v>55</v>
      </c>
      <c r="R22" s="10" t="s">
        <v>884</v>
      </c>
      <c r="S22" s="11"/>
      <c r="T22" s="11"/>
      <c r="U22" s="17" t="str">
        <f>HYPERLINK("https://pbs.twimg.com/profile_images/1311525027515432962/0g7DpI4c.jpg","View")</f>
        <v>View</v>
      </c>
      <c r="V22" s="11"/>
      <c r="W22" s="11"/>
      <c r="X22" s="11"/>
      <c r="Y22" s="11"/>
      <c r="Z22" s="11"/>
    </row>
    <row r="23">
      <c r="A23" s="8">
        <v>44218.71662037037</v>
      </c>
      <c r="B23" s="9" t="str">
        <f>HYPERLINK("https://twitter.com/Ligialundy13","@Ligialundy13")</f>
        <v>@Ligialundy13</v>
      </c>
      <c r="C23" s="10" t="s">
        <v>885</v>
      </c>
      <c r="D23" s="10" t="s">
        <v>886</v>
      </c>
      <c r="E23" s="9" t="str">
        <f>HYPERLINK("https://twitter.com/Ligialundy13/status/1352786108548001792","1352786108548001792")</f>
        <v>1352786108548001792</v>
      </c>
      <c r="F23" s="11"/>
      <c r="G23" s="11"/>
      <c r="H23" s="11"/>
      <c r="I23" s="13">
        <v>0.0</v>
      </c>
      <c r="J23" s="13">
        <v>2.0</v>
      </c>
      <c r="K23" s="9" t="str">
        <f t="shared" si="4"/>
        <v>Twitter for Android</v>
      </c>
      <c r="L23" s="14">
        <v>514.0</v>
      </c>
      <c r="M23" s="14">
        <v>487.0</v>
      </c>
      <c r="N23" s="14">
        <v>16.0</v>
      </c>
      <c r="O23" s="15"/>
      <c r="P23" s="16">
        <v>43965.87378472222</v>
      </c>
      <c r="Q23" s="10" t="s">
        <v>887</v>
      </c>
      <c r="R23" s="11"/>
      <c r="S23" s="11"/>
      <c r="T23" s="11"/>
      <c r="U23" s="17" t="str">
        <f>HYPERLINK("https://pbs.twimg.com/profile_images/1352481757648605184/VG1GO_QB.jpg","View")</f>
        <v>View</v>
      </c>
      <c r="V23" s="11"/>
      <c r="W23" s="11"/>
      <c r="X23" s="11"/>
      <c r="Y23" s="11"/>
      <c r="Z23" s="11"/>
    </row>
    <row r="24">
      <c r="A24" s="8">
        <v>44218.61671296296</v>
      </c>
      <c r="B24" s="9" t="str">
        <f>HYPERLINK("https://twitter.com/s_glom","@s_glom")</f>
        <v>@s_glom</v>
      </c>
      <c r="C24" s="10" t="s">
        <v>888</v>
      </c>
      <c r="D24" s="10" t="s">
        <v>889</v>
      </c>
      <c r="E24" s="9" t="str">
        <f>HYPERLINK("https://twitter.com/s_glom/status/1352749905463402496","1352749905463402496")</f>
        <v>1352749905463402496</v>
      </c>
      <c r="F24" s="11"/>
      <c r="G24" s="11"/>
      <c r="H24" s="11"/>
      <c r="I24" s="13">
        <v>0.0</v>
      </c>
      <c r="J24" s="13">
        <v>0.0</v>
      </c>
      <c r="K24" s="9" t="str">
        <f t="shared" si="4"/>
        <v>Twitter for Android</v>
      </c>
      <c r="L24" s="14">
        <v>253.0</v>
      </c>
      <c r="M24" s="14">
        <v>242.0</v>
      </c>
      <c r="N24" s="14">
        <v>0.0</v>
      </c>
      <c r="O24" s="15"/>
      <c r="P24" s="16">
        <v>43698.95597222222</v>
      </c>
      <c r="Q24" s="11"/>
      <c r="R24" s="11"/>
      <c r="S24" s="11"/>
      <c r="T24" s="11"/>
      <c r="U24" s="17" t="str">
        <f>HYPERLINK("https://pbs.twimg.com/profile_images/1353992572201545728/g1nW3yGJ.jpg","View")</f>
        <v>View</v>
      </c>
      <c r="V24" s="11"/>
      <c r="W24" s="11"/>
      <c r="X24" s="11"/>
      <c r="Y24" s="11"/>
      <c r="Z24" s="11"/>
    </row>
    <row r="25">
      <c r="A25" s="8">
        <v>44218.595567129625</v>
      </c>
      <c r="B25" s="9" t="str">
        <f>HYPERLINK("https://twitter.com/valentinis_sofi","@valentinis_sofi")</f>
        <v>@valentinis_sofi</v>
      </c>
      <c r="C25" s="10" t="s">
        <v>890</v>
      </c>
      <c r="D25" s="10" t="s">
        <v>891</v>
      </c>
      <c r="E25" s="9" t="str">
        <f>HYPERLINK("https://twitter.com/valentinis_sofi/status/1352742240741945344","1352742240741945344")</f>
        <v>1352742240741945344</v>
      </c>
      <c r="F25" s="11"/>
      <c r="G25" s="11"/>
      <c r="H25" s="11"/>
      <c r="I25" s="13">
        <v>12.0</v>
      </c>
      <c r="J25" s="13">
        <v>17.0</v>
      </c>
      <c r="K25" s="9" t="str">
        <f t="shared" si="4"/>
        <v>Twitter for Android</v>
      </c>
      <c r="L25" s="14">
        <v>273.0</v>
      </c>
      <c r="M25" s="14">
        <v>223.0</v>
      </c>
      <c r="N25" s="14">
        <v>0.0</v>
      </c>
      <c r="O25" s="15"/>
      <c r="P25" s="16">
        <v>42939.65415509259</v>
      </c>
      <c r="Q25" s="10" t="s">
        <v>892</v>
      </c>
      <c r="R25" s="10" t="s">
        <v>893</v>
      </c>
      <c r="S25" s="11"/>
      <c r="T25" s="11"/>
      <c r="U25" s="17" t="str">
        <f>HYPERLINK("https://pbs.twimg.com/profile_images/1348505090546671617/hxBOxYhk.jpg","View")</f>
        <v>View</v>
      </c>
      <c r="V25" s="11"/>
      <c r="W25" s="11"/>
      <c r="X25" s="11"/>
      <c r="Y25" s="11"/>
      <c r="Z25" s="11"/>
    </row>
    <row r="26">
      <c r="A26" s="8">
        <v>44218.3578587963</v>
      </c>
      <c r="B26" s="9" t="str">
        <f>HYPERLINK("https://twitter.com/kimby__Queen","@kimby__Queen")</f>
        <v>@kimby__Queen</v>
      </c>
      <c r="C26" s="10" t="s">
        <v>894</v>
      </c>
      <c r="D26" s="10" t="s">
        <v>895</v>
      </c>
      <c r="E26" s="9" t="str">
        <f>HYPERLINK("https://twitter.com/kimby__Queen/status/1352656099170803712","1352656099170803712")</f>
        <v>1352656099170803712</v>
      </c>
      <c r="F26" s="11"/>
      <c r="G26" s="11"/>
      <c r="H26" s="11"/>
      <c r="I26" s="13">
        <v>0.0</v>
      </c>
      <c r="J26" s="13">
        <v>46.0</v>
      </c>
      <c r="K26" s="9" t="str">
        <f t="shared" si="4"/>
        <v>Twitter for Android</v>
      </c>
      <c r="L26" s="14">
        <v>1277.0</v>
      </c>
      <c r="M26" s="14">
        <v>863.0</v>
      </c>
      <c r="N26" s="14">
        <v>0.0</v>
      </c>
      <c r="O26" s="15"/>
      <c r="P26" s="16">
        <v>44018.55865740741</v>
      </c>
      <c r="Q26" s="10" t="s">
        <v>896</v>
      </c>
      <c r="R26" s="10" t="s">
        <v>897</v>
      </c>
      <c r="S26" s="11"/>
      <c r="T26" s="11"/>
      <c r="U26" s="17" t="str">
        <f>HYPERLINK("https://pbs.twimg.com/profile_images/1350670153617448962/ma9pZjv_.jpg","View")</f>
        <v>View</v>
      </c>
      <c r="V26" s="11"/>
      <c r="W26" s="11"/>
      <c r="X26" s="11"/>
      <c r="Y26" s="11"/>
      <c r="Z26" s="11"/>
    </row>
    <row r="27">
      <c r="A27" s="8">
        <v>44218.28091435185</v>
      </c>
      <c r="B27" s="9" t="str">
        <f>HYPERLINK("https://twitter.com/lolamta_","@lolamta_")</f>
        <v>@lolamta_</v>
      </c>
      <c r="C27" s="10" t="s">
        <v>898</v>
      </c>
      <c r="D27" s="10" t="s">
        <v>899</v>
      </c>
      <c r="E27" s="9" t="str">
        <f>HYPERLINK("https://twitter.com/lolamta_/status/1352628214489878528","1352628214489878528")</f>
        <v>1352628214489878528</v>
      </c>
      <c r="F27" s="11"/>
      <c r="G27" s="11"/>
      <c r="H27" s="11"/>
      <c r="I27" s="13">
        <v>3.0</v>
      </c>
      <c r="J27" s="13">
        <v>17.0</v>
      </c>
      <c r="K27" s="9" t="str">
        <f t="shared" si="4"/>
        <v>Twitter for Android</v>
      </c>
      <c r="L27" s="14">
        <v>11854.0</v>
      </c>
      <c r="M27" s="14">
        <v>339.0</v>
      </c>
      <c r="N27" s="14">
        <v>42.0</v>
      </c>
      <c r="O27" s="15"/>
      <c r="P27" s="16">
        <v>43096.13181712963</v>
      </c>
      <c r="Q27" s="10" t="s">
        <v>900</v>
      </c>
      <c r="R27" s="10" t="s">
        <v>901</v>
      </c>
      <c r="S27" s="12" t="s">
        <v>902</v>
      </c>
      <c r="T27" s="11"/>
      <c r="U27" s="17" t="str">
        <f>HYPERLINK("https://pbs.twimg.com/profile_images/1350040858842836993/EU8CFFUG.jpg","View")</f>
        <v>View</v>
      </c>
      <c r="V27" s="11"/>
      <c r="W27" s="11"/>
      <c r="X27" s="11"/>
      <c r="Y27" s="11"/>
      <c r="Z27" s="11"/>
    </row>
    <row r="28">
      <c r="A28" s="8">
        <v>44217.77061342592</v>
      </c>
      <c r="B28" s="9" t="str">
        <f>HYPERLINK("https://twitter.com/duraznoentrozos","@duraznoentrozos")</f>
        <v>@duraznoentrozos</v>
      </c>
      <c r="C28" s="10" t="s">
        <v>903</v>
      </c>
      <c r="D28" s="10" t="s">
        <v>904</v>
      </c>
      <c r="E28" s="9" t="str">
        <f>HYPERLINK("https://twitter.com/duraznoentrozos/status/1352443287345520642","1352443287345520642")</f>
        <v>1352443287345520642</v>
      </c>
      <c r="F28" s="11"/>
      <c r="G28" s="11"/>
      <c r="H28" s="11"/>
      <c r="I28" s="13">
        <v>1.0</v>
      </c>
      <c r="J28" s="13">
        <v>5.0</v>
      </c>
      <c r="K28" s="9" t="str">
        <f>HYPERLINK("http://twitter.com/download/iphone","Twitter for iPhone")</f>
        <v>Twitter for iPhone</v>
      </c>
      <c r="L28" s="14">
        <v>607.0</v>
      </c>
      <c r="M28" s="14">
        <v>654.0</v>
      </c>
      <c r="N28" s="14">
        <v>2.0</v>
      </c>
      <c r="O28" s="15"/>
      <c r="P28" s="16">
        <v>43940.8062037037</v>
      </c>
      <c r="Q28" s="10" t="s">
        <v>905</v>
      </c>
      <c r="R28" s="10" t="s">
        <v>906</v>
      </c>
      <c r="S28" s="11"/>
      <c r="T28" s="11"/>
      <c r="U28" s="17" t="str">
        <f>HYPERLINK("https://pbs.twimg.com/profile_images/1335215203366088704/pkSqQWE0.jpg","View")</f>
        <v>View</v>
      </c>
      <c r="V28" s="11"/>
      <c r="W28" s="11"/>
      <c r="X28" s="11"/>
      <c r="Y28" s="11"/>
      <c r="Z28" s="11"/>
    </row>
    <row r="29">
      <c r="A29" s="8">
        <v>44217.553240740745</v>
      </c>
      <c r="B29" s="9" t="str">
        <f>HYPERLINK("https://twitter.com/lolamta_","@lolamta_")</f>
        <v>@lolamta_</v>
      </c>
      <c r="C29" s="10" t="s">
        <v>898</v>
      </c>
      <c r="D29" s="10" t="s">
        <v>907</v>
      </c>
      <c r="E29" s="9" t="str">
        <f>HYPERLINK("https://twitter.com/lolamta_/status/1352364513648119808","1352364513648119808")</f>
        <v>1352364513648119808</v>
      </c>
      <c r="F29" s="11"/>
      <c r="G29" s="11"/>
      <c r="H29" s="11"/>
      <c r="I29" s="13">
        <v>0.0</v>
      </c>
      <c r="J29" s="13">
        <v>3.0</v>
      </c>
      <c r="K29" s="9" t="str">
        <f>HYPERLINK("http://twitter.com/download/android","Twitter for Android")</f>
        <v>Twitter for Android</v>
      </c>
      <c r="L29" s="14">
        <v>11854.0</v>
      </c>
      <c r="M29" s="14">
        <v>339.0</v>
      </c>
      <c r="N29" s="14">
        <v>42.0</v>
      </c>
      <c r="O29" s="15"/>
      <c r="P29" s="16">
        <v>43096.13181712963</v>
      </c>
      <c r="Q29" s="10" t="s">
        <v>900</v>
      </c>
      <c r="R29" s="10" t="s">
        <v>901</v>
      </c>
      <c r="S29" s="12" t="s">
        <v>902</v>
      </c>
      <c r="T29" s="11"/>
      <c r="U29" s="17" t="str">
        <f>HYPERLINK("https://pbs.twimg.com/profile_images/1350040858842836993/EU8CFFUG.jpg","View")</f>
        <v>View</v>
      </c>
      <c r="V29" s="11"/>
      <c r="W29" s="11"/>
      <c r="X29" s="11"/>
      <c r="Y29" s="11"/>
      <c r="Z29" s="11"/>
    </row>
    <row r="30">
      <c r="A30" s="8">
        <v>44217.530324074076</v>
      </c>
      <c r="B30" s="9" t="str">
        <f>HYPERLINK("https://twitter.com/salmitagaladrie","@salmitagaladrie")</f>
        <v>@salmitagaladrie</v>
      </c>
      <c r="C30" s="10" t="s">
        <v>908</v>
      </c>
      <c r="D30" s="10" t="s">
        <v>909</v>
      </c>
      <c r="E30" s="9" t="str">
        <f>HYPERLINK("https://twitter.com/salmitagaladrie/status/1352356207386914820","1352356207386914820")</f>
        <v>1352356207386914820</v>
      </c>
      <c r="F30" s="12" t="s">
        <v>910</v>
      </c>
      <c r="G30" s="11"/>
      <c r="H30" s="11"/>
      <c r="I30" s="13">
        <v>1.0</v>
      </c>
      <c r="J30" s="13">
        <v>5.0</v>
      </c>
      <c r="K30" s="9" t="str">
        <f>HYPERLINK("http://twitter.com/download/iphone","Twitter for iPhone")</f>
        <v>Twitter for iPhone</v>
      </c>
      <c r="L30" s="14">
        <v>786.0</v>
      </c>
      <c r="M30" s="14">
        <v>645.0</v>
      </c>
      <c r="N30" s="14">
        <v>0.0</v>
      </c>
      <c r="O30" s="15"/>
      <c r="P30" s="16">
        <v>40411.70916666667</v>
      </c>
      <c r="Q30" s="11"/>
      <c r="R30" s="10" t="s">
        <v>911</v>
      </c>
      <c r="S30" s="11"/>
      <c r="T30" s="11"/>
      <c r="U30" s="17" t="str">
        <f>HYPERLINK("https://pbs.twimg.com/profile_images/1343316394784530436/oOWFba9h.jpg","View")</f>
        <v>View</v>
      </c>
      <c r="V30" s="11"/>
      <c r="W30" s="11"/>
      <c r="X30" s="11"/>
      <c r="Y30" s="11"/>
      <c r="Z30" s="11"/>
    </row>
    <row r="31">
      <c r="A31" s="8">
        <v>44217.45460648148</v>
      </c>
      <c r="B31" s="9" t="str">
        <f>HYPERLINK("https://twitter.com/FuegoAlado","@FuegoAlado")</f>
        <v>@FuegoAlado</v>
      </c>
      <c r="C31" s="10" t="s">
        <v>912</v>
      </c>
      <c r="D31" s="10" t="s">
        <v>913</v>
      </c>
      <c r="E31" s="9" t="str">
        <f>HYPERLINK("https://twitter.com/FuegoAlado/status/1352328770934501376","1352328770934501376")</f>
        <v>1352328770934501376</v>
      </c>
      <c r="F31" s="11"/>
      <c r="G31" s="12" t="s">
        <v>914</v>
      </c>
      <c r="H31" s="11"/>
      <c r="I31" s="13">
        <v>5.0</v>
      </c>
      <c r="J31" s="13">
        <v>34.0</v>
      </c>
      <c r="K31" s="9" t="str">
        <f>HYPERLINK("https://mobile.twitter.com","Twitter Web App")</f>
        <v>Twitter Web App</v>
      </c>
      <c r="L31" s="14">
        <v>3311.0</v>
      </c>
      <c r="M31" s="14">
        <v>3341.0</v>
      </c>
      <c r="N31" s="14">
        <v>1.0</v>
      </c>
      <c r="O31" s="15"/>
      <c r="P31" s="16">
        <v>43778.448425925926</v>
      </c>
      <c r="Q31" s="11"/>
      <c r="R31" s="10" t="s">
        <v>915</v>
      </c>
      <c r="S31" s="11"/>
      <c r="T31" s="11"/>
      <c r="U31" s="17" t="str">
        <f>HYPERLINK("https://pbs.twimg.com/profile_images/1322655082748485632/7Id_1Xeo.jpg","View")</f>
        <v>View</v>
      </c>
      <c r="V31" s="11"/>
      <c r="W31" s="11"/>
      <c r="X31" s="11"/>
      <c r="Y31" s="11"/>
      <c r="Z31" s="11"/>
    </row>
    <row r="32">
      <c r="A32" s="8">
        <v>44217.135613425926</v>
      </c>
      <c r="B32" s="9" t="str">
        <f>HYPERLINK("https://twitter.com/AlaizJ","@AlaizJ")</f>
        <v>@AlaizJ</v>
      </c>
      <c r="C32" s="10" t="s">
        <v>916</v>
      </c>
      <c r="D32" s="10" t="s">
        <v>917</v>
      </c>
      <c r="E32" s="9" t="str">
        <f>HYPERLINK("https://twitter.com/AlaizJ/status/1352213171860348930","1352213171860348930")</f>
        <v>1352213171860348930</v>
      </c>
      <c r="F32" s="12" t="s">
        <v>918</v>
      </c>
      <c r="G32" s="12" t="s">
        <v>919</v>
      </c>
      <c r="H32" s="11"/>
      <c r="I32" s="13">
        <v>0.0</v>
      </c>
      <c r="J32" s="13">
        <v>0.0</v>
      </c>
      <c r="K32" s="9" t="str">
        <f>HYPERLINK("http://twitter.com/download/iphone","Twitter for iPhone")</f>
        <v>Twitter for iPhone</v>
      </c>
      <c r="L32" s="14">
        <v>446.0</v>
      </c>
      <c r="M32" s="14">
        <v>732.0</v>
      </c>
      <c r="N32" s="14">
        <v>0.0</v>
      </c>
      <c r="O32" s="15"/>
      <c r="P32" s="16">
        <v>43951.63122685185</v>
      </c>
      <c r="Q32" s="10" t="s">
        <v>515</v>
      </c>
      <c r="R32" s="10" t="s">
        <v>920</v>
      </c>
      <c r="S32" s="11"/>
      <c r="T32" s="11"/>
      <c r="U32" s="17" t="str">
        <f>HYPERLINK("https://pbs.twimg.com/profile_images/1325534661729202176/LhaZ9iEt.jpg","View")</f>
        <v>View</v>
      </c>
      <c r="V32" s="11"/>
      <c r="W32" s="11"/>
      <c r="X32" s="11"/>
      <c r="Y32" s="11"/>
      <c r="Z32" s="11"/>
    </row>
    <row r="33">
      <c r="A33" s="8">
        <v>44216.735243055555</v>
      </c>
      <c r="B33" s="9" t="str">
        <f>HYPERLINK("https://twitter.com/CapitanFuria13","@CapitanFuria13")</f>
        <v>@CapitanFuria13</v>
      </c>
      <c r="C33" s="10" t="s">
        <v>921</v>
      </c>
      <c r="D33" s="10" t="s">
        <v>922</v>
      </c>
      <c r="E33" s="9" t="str">
        <f>HYPERLINK("https://twitter.com/CapitanFuria13/status/1352068081019834368","1352068081019834368")</f>
        <v>1352068081019834368</v>
      </c>
      <c r="F33" s="12" t="s">
        <v>923</v>
      </c>
      <c r="G33" s="11"/>
      <c r="H33" s="11"/>
      <c r="I33" s="13">
        <v>0.0</v>
      </c>
      <c r="J33" s="13">
        <v>3.0</v>
      </c>
      <c r="K33" s="9" t="str">
        <f>HYPERLINK("https://mobile.twitter.com","Twitter Web App")</f>
        <v>Twitter Web App</v>
      </c>
      <c r="L33" s="14">
        <v>280.0</v>
      </c>
      <c r="M33" s="14">
        <v>778.0</v>
      </c>
      <c r="N33" s="14">
        <v>0.0</v>
      </c>
      <c r="O33" s="15"/>
      <c r="P33" s="16">
        <v>44064.29393518518</v>
      </c>
      <c r="Q33" s="10" t="s">
        <v>924</v>
      </c>
      <c r="R33" s="10" t="s">
        <v>925</v>
      </c>
      <c r="S33" s="11"/>
      <c r="T33" s="11"/>
      <c r="U33" s="17" t="str">
        <f>HYPERLINK("https://pbs.twimg.com/profile_images/1353564566928515072/x08fg-Ig.jpg","View")</f>
        <v>View</v>
      </c>
      <c r="V33" s="11"/>
      <c r="W33" s="11"/>
      <c r="X33" s="11"/>
      <c r="Y33" s="11"/>
      <c r="Z33" s="11"/>
    </row>
    <row r="34">
      <c r="A34" s="8">
        <v>44216.60476851852</v>
      </c>
      <c r="B34" s="9" t="str">
        <f>HYPERLINK("https://twitter.com/eresmuyguap4","@eresmuyguap4")</f>
        <v>@eresmuyguap4</v>
      </c>
      <c r="C34" s="10" t="s">
        <v>926</v>
      </c>
      <c r="D34" s="10" t="s">
        <v>927</v>
      </c>
      <c r="E34" s="9" t="str">
        <f>HYPERLINK("https://twitter.com/eresmuyguap4/status/1352020800963014662","1352020800963014662")</f>
        <v>1352020800963014662</v>
      </c>
      <c r="F34" s="11"/>
      <c r="G34" s="11"/>
      <c r="H34" s="11"/>
      <c r="I34" s="13">
        <v>0.0</v>
      </c>
      <c r="J34" s="13">
        <v>3.0</v>
      </c>
      <c r="K34" s="9" t="str">
        <f>HYPERLINK("http://twitter.com/download/android","Twitter for Android")</f>
        <v>Twitter for Android</v>
      </c>
      <c r="L34" s="14">
        <v>139.0</v>
      </c>
      <c r="M34" s="14">
        <v>179.0</v>
      </c>
      <c r="N34" s="14">
        <v>0.0</v>
      </c>
      <c r="O34" s="15"/>
      <c r="P34" s="16">
        <v>44190.351689814815</v>
      </c>
      <c r="Q34" s="11"/>
      <c r="R34" s="10" t="s">
        <v>928</v>
      </c>
      <c r="S34" s="11"/>
      <c r="T34" s="11"/>
      <c r="U34" s="17" t="str">
        <f>HYPERLINK("https://pbs.twimg.com/profile_images/1352702603361181698/JbDlNaui.jpg","View")</f>
        <v>View</v>
      </c>
      <c r="V34" s="11"/>
      <c r="W34" s="11"/>
      <c r="X34" s="11"/>
      <c r="Y34" s="11"/>
      <c r="Z34" s="11"/>
    </row>
    <row r="35">
      <c r="A35" s="8">
        <v>44216.54644675926</v>
      </c>
      <c r="B35" s="9" t="str">
        <f>HYPERLINK("https://twitter.com/Alanalsa1","@Alanalsa1")</f>
        <v>@Alanalsa1</v>
      </c>
      <c r="C35" s="10" t="s">
        <v>929</v>
      </c>
      <c r="D35" s="10" t="s">
        <v>930</v>
      </c>
      <c r="E35" s="9" t="str">
        <f>HYPERLINK("https://twitter.com/Alanalsa1/status/1351999662358736897","1351999662358736897")</f>
        <v>1351999662358736897</v>
      </c>
      <c r="F35" s="11"/>
      <c r="G35" s="11"/>
      <c r="H35" s="11"/>
      <c r="I35" s="13">
        <v>0.0</v>
      </c>
      <c r="J35" s="13">
        <v>1.0</v>
      </c>
      <c r="K35" s="9" t="str">
        <f>HYPERLINK("http://twitter.com/download/iphone","Twitter for iPhone")</f>
        <v>Twitter for iPhone</v>
      </c>
      <c r="L35" s="14">
        <v>447.0</v>
      </c>
      <c r="M35" s="14">
        <v>339.0</v>
      </c>
      <c r="N35" s="14">
        <v>0.0</v>
      </c>
      <c r="O35" s="15"/>
      <c r="P35" s="16">
        <v>40374.74355324074</v>
      </c>
      <c r="Q35" s="10" t="s">
        <v>931</v>
      </c>
      <c r="R35" s="10" t="s">
        <v>932</v>
      </c>
      <c r="S35" s="11"/>
      <c r="T35" s="11"/>
      <c r="U35" s="17" t="str">
        <f>HYPERLINK("https://pbs.twimg.com/profile_images/1349199865126019072/Qp9VWcJs.jpg","View")</f>
        <v>View</v>
      </c>
      <c r="V35" s="11"/>
      <c r="W35" s="11"/>
      <c r="X35" s="11"/>
      <c r="Y35" s="11"/>
      <c r="Z35" s="11"/>
    </row>
    <row r="36">
      <c r="A36" s="8">
        <v>44215.51217592593</v>
      </c>
      <c r="B36" s="9" t="str">
        <f>HYPERLINK("https://twitter.com/05Y00NG1","@05Y00NG1")</f>
        <v>@05Y00NG1</v>
      </c>
      <c r="C36" s="10" t="s">
        <v>933</v>
      </c>
      <c r="D36" s="10" t="s">
        <v>934</v>
      </c>
      <c r="E36" s="9" t="str">
        <f>HYPERLINK("https://twitter.com/05Y00NG1/status/1351624855616159764","1351624855616159764")</f>
        <v>1351624855616159764</v>
      </c>
      <c r="F36" s="12" t="s">
        <v>935</v>
      </c>
      <c r="G36" s="12" t="s">
        <v>936</v>
      </c>
      <c r="H36" s="11"/>
      <c r="I36" s="13">
        <v>0.0</v>
      </c>
      <c r="J36" s="13">
        <v>0.0</v>
      </c>
      <c r="K36" s="9" t="str">
        <f>HYPERLINK("http://twitter.com/download/android","Twitter for Android")</f>
        <v>Twitter for Android</v>
      </c>
      <c r="L36" s="14">
        <v>268.0</v>
      </c>
      <c r="M36" s="14">
        <v>436.0</v>
      </c>
      <c r="N36" s="14">
        <v>7.0</v>
      </c>
      <c r="O36" s="15"/>
      <c r="P36" s="16">
        <v>44100.50949074074</v>
      </c>
      <c r="Q36" s="10" t="s">
        <v>937</v>
      </c>
      <c r="R36" s="10" t="s">
        <v>938</v>
      </c>
      <c r="S36" s="12" t="s">
        <v>939</v>
      </c>
      <c r="T36" s="11"/>
      <c r="U36" s="17" t="str">
        <f>HYPERLINK("https://pbs.twimg.com/profile_images/1353595271050096640/jC15ZPQC.jpg","View")</f>
        <v>View</v>
      </c>
      <c r="V36" s="11"/>
      <c r="W36" s="11"/>
      <c r="X36" s="11"/>
      <c r="Y36" s="11"/>
      <c r="Z36" s="11"/>
    </row>
    <row r="37">
      <c r="A37" s="8">
        <v>44215.44436342592</v>
      </c>
      <c r="B37" s="9" t="str">
        <f>HYPERLINK("https://twitter.com/HablaPollito","@HablaPollito")</f>
        <v>@HablaPollito</v>
      </c>
      <c r="C37" s="10" t="s">
        <v>940</v>
      </c>
      <c r="D37" s="10" t="s">
        <v>941</v>
      </c>
      <c r="E37" s="9" t="str">
        <f>HYPERLINK("https://twitter.com/HablaPollito/status/1351600283919462402","1351600283919462402")</f>
        <v>1351600283919462402</v>
      </c>
      <c r="F37" s="11"/>
      <c r="G37" s="11"/>
      <c r="H37" s="11"/>
      <c r="I37" s="13">
        <v>0.0</v>
      </c>
      <c r="J37" s="13">
        <v>5.0</v>
      </c>
      <c r="K37" s="9" t="str">
        <f>HYPERLINK("http://twitter.com/download/iphone","Twitter for iPhone")</f>
        <v>Twitter for iPhone</v>
      </c>
      <c r="L37" s="14">
        <v>154.0</v>
      </c>
      <c r="M37" s="14">
        <v>245.0</v>
      </c>
      <c r="N37" s="14">
        <v>0.0</v>
      </c>
      <c r="O37" s="15"/>
      <c r="P37" s="16">
        <v>44140.41180555556</v>
      </c>
      <c r="Q37" s="10" t="s">
        <v>942</v>
      </c>
      <c r="R37" s="10" t="s">
        <v>943</v>
      </c>
      <c r="S37" s="11"/>
      <c r="T37" s="11"/>
      <c r="U37" s="17" t="str">
        <f>HYPERLINK("https://pbs.twimg.com/profile_images/1348423123922780170/KuDpAA_b.jpg","View")</f>
        <v>View</v>
      </c>
      <c r="V37" s="11"/>
      <c r="W37" s="11"/>
      <c r="X37" s="11"/>
      <c r="Y37" s="11"/>
      <c r="Z37" s="11"/>
    </row>
    <row r="38">
      <c r="A38" s="8">
        <v>44215.383622685185</v>
      </c>
      <c r="B38" s="9" t="str">
        <f>HYPERLINK("https://twitter.com/jorggog","@jorggog")</f>
        <v>@jorggog</v>
      </c>
      <c r="C38" s="10" t="s">
        <v>944</v>
      </c>
      <c r="D38" s="10" t="s">
        <v>945</v>
      </c>
      <c r="E38" s="9" t="str">
        <f>HYPERLINK("https://twitter.com/jorggog/status/1351578271218102273","1351578271218102273")</f>
        <v>1351578271218102273</v>
      </c>
      <c r="F38" s="11"/>
      <c r="G38" s="11"/>
      <c r="H38" s="11"/>
      <c r="I38" s="13">
        <v>1.0</v>
      </c>
      <c r="J38" s="13">
        <v>0.0</v>
      </c>
      <c r="K38" s="9" t="str">
        <f t="shared" ref="K38:K40" si="5">HYPERLINK("http://twitter.com/download/android","Twitter for Android")</f>
        <v>Twitter for Android</v>
      </c>
      <c r="L38" s="14">
        <v>3494.0</v>
      </c>
      <c r="M38" s="14">
        <v>1364.0</v>
      </c>
      <c r="N38" s="14">
        <v>4.0</v>
      </c>
      <c r="O38" s="15"/>
      <c r="P38" s="16">
        <v>40766.90179398148</v>
      </c>
      <c r="Q38" s="10" t="s">
        <v>946</v>
      </c>
      <c r="R38" s="10" t="s">
        <v>947</v>
      </c>
      <c r="S38" s="11"/>
      <c r="T38" s="11"/>
      <c r="U38" s="17" t="str">
        <f>HYPERLINK("https://pbs.twimg.com/profile_images/1214594527089971200/y7UtUTlD.jpg","View")</f>
        <v>View</v>
      </c>
      <c r="V38" s="11"/>
      <c r="W38" s="11"/>
      <c r="X38" s="11"/>
      <c r="Y38" s="11"/>
      <c r="Z38" s="11"/>
    </row>
    <row r="39">
      <c r="A39" s="8">
        <v>44215.22167824074</v>
      </c>
      <c r="B39" s="9" t="str">
        <f>HYPERLINK("https://twitter.com/MMMPuy","@MMMPuy")</f>
        <v>@MMMPuy</v>
      </c>
      <c r="C39" s="10" t="s">
        <v>948</v>
      </c>
      <c r="D39" s="10" t="s">
        <v>949</v>
      </c>
      <c r="E39" s="9" t="str">
        <f>HYPERLINK("https://twitter.com/MMMPuy/status/1351519583224668163","1351519583224668163")</f>
        <v>1351519583224668163</v>
      </c>
      <c r="F39" s="11"/>
      <c r="G39" s="11"/>
      <c r="H39" s="11"/>
      <c r="I39" s="13">
        <v>0.0</v>
      </c>
      <c r="J39" s="13">
        <v>2.0</v>
      </c>
      <c r="K39" s="9" t="str">
        <f t="shared" si="5"/>
        <v>Twitter for Android</v>
      </c>
      <c r="L39" s="14">
        <v>306.0</v>
      </c>
      <c r="M39" s="14">
        <v>495.0</v>
      </c>
      <c r="N39" s="14">
        <v>8.0</v>
      </c>
      <c r="O39" s="15"/>
      <c r="P39" s="16">
        <v>40722.59321759259</v>
      </c>
      <c r="Q39" s="10" t="s">
        <v>950</v>
      </c>
      <c r="R39" s="10" t="s">
        <v>951</v>
      </c>
      <c r="S39" s="11"/>
      <c r="T39" s="11"/>
      <c r="U39" s="17" t="str">
        <f>HYPERLINK("https://pbs.twimg.com/profile_images/1029036486870687745/wcpNOKqo.jpg","View")</f>
        <v>View</v>
      </c>
      <c r="V39" s="11"/>
      <c r="W39" s="11"/>
      <c r="X39" s="11"/>
      <c r="Y39" s="11"/>
      <c r="Z39" s="11"/>
    </row>
    <row r="40">
      <c r="A40" s="8">
        <v>44215.02410879629</v>
      </c>
      <c r="B40" s="9" t="str">
        <f>HYPERLINK("https://twitter.com/CayetanoOk","@CayetanoOk")</f>
        <v>@CayetanoOk</v>
      </c>
      <c r="C40" s="10" t="s">
        <v>952</v>
      </c>
      <c r="D40" s="10" t="s">
        <v>953</v>
      </c>
      <c r="E40" s="9" t="str">
        <f>HYPERLINK("https://twitter.com/CayetanoOk/status/1351447988917383169","1351447988917383169")</f>
        <v>1351447988917383169</v>
      </c>
      <c r="F40" s="11"/>
      <c r="G40" s="11"/>
      <c r="H40" s="11"/>
      <c r="I40" s="13">
        <v>0.0</v>
      </c>
      <c r="J40" s="13">
        <v>2.0</v>
      </c>
      <c r="K40" s="9" t="str">
        <f t="shared" si="5"/>
        <v>Twitter for Android</v>
      </c>
      <c r="L40" s="14">
        <v>280.0</v>
      </c>
      <c r="M40" s="14">
        <v>89.0</v>
      </c>
      <c r="N40" s="14">
        <v>2.0</v>
      </c>
      <c r="O40" s="15"/>
      <c r="P40" s="16">
        <v>43188.35193287037</v>
      </c>
      <c r="Q40" s="10" t="s">
        <v>954</v>
      </c>
      <c r="R40" s="10" t="s">
        <v>955</v>
      </c>
      <c r="S40" s="11"/>
      <c r="T40" s="11"/>
      <c r="U40" s="17" t="str">
        <f>HYPERLINK("https://pbs.twimg.com/profile_images/1351538897843580931/6VdLF0KG.jpg","View")</f>
        <v>View</v>
      </c>
      <c r="V40" s="11"/>
      <c r="W40" s="11"/>
      <c r="X40" s="11"/>
      <c r="Y40" s="11"/>
      <c r="Z40" s="11"/>
    </row>
    <row r="41">
      <c r="A41" s="18"/>
      <c r="B41" s="11"/>
      <c r="C41" s="11"/>
      <c r="D41" s="11"/>
      <c r="E41" s="11"/>
      <c r="F41" s="11"/>
      <c r="G41" s="11"/>
      <c r="H41" s="11"/>
      <c r="I41" s="11"/>
      <c r="J41" s="11"/>
      <c r="K41" s="11"/>
      <c r="L41" s="15"/>
      <c r="M41" s="15"/>
      <c r="N41" s="15"/>
      <c r="O41" s="15"/>
      <c r="P41" s="15"/>
      <c r="Q41" s="11"/>
      <c r="R41" s="11"/>
      <c r="S41" s="11"/>
      <c r="T41" s="11"/>
      <c r="U41" s="15"/>
      <c r="V41" s="11"/>
      <c r="W41" s="11"/>
      <c r="X41" s="11"/>
      <c r="Y41" s="11"/>
      <c r="Z41" s="11"/>
    </row>
    <row r="42">
      <c r="A42" s="18"/>
      <c r="B42" s="11"/>
      <c r="C42" s="11"/>
      <c r="D42" s="11"/>
      <c r="E42" s="11"/>
      <c r="F42" s="11"/>
      <c r="G42" s="11"/>
      <c r="H42" s="11"/>
      <c r="I42" s="11"/>
      <c r="J42" s="11"/>
      <c r="K42" s="11"/>
      <c r="L42" s="15"/>
      <c r="M42" s="15"/>
      <c r="N42" s="15"/>
      <c r="O42" s="15"/>
      <c r="P42" s="15"/>
      <c r="Q42" s="11"/>
      <c r="R42" s="11"/>
      <c r="S42" s="11"/>
      <c r="T42" s="11"/>
      <c r="U42" s="15"/>
      <c r="V42" s="11"/>
      <c r="W42" s="11"/>
      <c r="X42" s="11"/>
      <c r="Y42" s="11"/>
      <c r="Z42" s="11"/>
    </row>
    <row r="43">
      <c r="A43" s="18"/>
      <c r="B43" s="11"/>
      <c r="C43" s="11"/>
      <c r="D43" s="11"/>
      <c r="E43" s="11"/>
      <c r="F43" s="11"/>
      <c r="G43" s="11"/>
      <c r="H43" s="11"/>
      <c r="I43" s="11"/>
      <c r="J43" s="11"/>
      <c r="K43" s="11"/>
      <c r="L43" s="15"/>
      <c r="M43" s="15"/>
      <c r="N43" s="15"/>
      <c r="O43" s="15"/>
      <c r="P43" s="15"/>
      <c r="Q43" s="11"/>
      <c r="R43" s="11"/>
      <c r="S43" s="11"/>
      <c r="T43" s="11"/>
      <c r="U43" s="15"/>
      <c r="V43" s="11"/>
      <c r="W43" s="11"/>
      <c r="X43" s="11"/>
      <c r="Y43" s="11"/>
      <c r="Z43" s="11"/>
    </row>
    <row r="44">
      <c r="A44" s="18"/>
      <c r="B44" s="11"/>
      <c r="C44" s="11"/>
      <c r="D44" s="11"/>
      <c r="E44" s="11"/>
      <c r="F44" s="11"/>
      <c r="G44" s="11"/>
      <c r="H44" s="11"/>
      <c r="I44" s="11"/>
      <c r="J44" s="11"/>
      <c r="K44" s="11"/>
      <c r="L44" s="15"/>
      <c r="M44" s="15"/>
      <c r="N44" s="15"/>
      <c r="O44" s="15"/>
      <c r="P44" s="15"/>
      <c r="Q44" s="11"/>
      <c r="R44" s="11"/>
      <c r="S44" s="11"/>
      <c r="T44" s="11"/>
      <c r="U44" s="15"/>
      <c r="V44" s="11"/>
      <c r="W44" s="11"/>
      <c r="X44" s="11"/>
      <c r="Y44" s="11"/>
      <c r="Z44" s="11"/>
    </row>
    <row r="45">
      <c r="A45" s="18"/>
      <c r="B45" s="11"/>
      <c r="C45" s="11"/>
      <c r="D45" s="11"/>
      <c r="E45" s="11"/>
      <c r="F45" s="11"/>
      <c r="G45" s="11"/>
      <c r="H45" s="11"/>
      <c r="I45" s="11"/>
      <c r="J45" s="11"/>
      <c r="K45" s="11"/>
      <c r="L45" s="15"/>
      <c r="M45" s="15"/>
      <c r="N45" s="15"/>
      <c r="O45" s="15"/>
      <c r="P45" s="15"/>
      <c r="Q45" s="11"/>
      <c r="R45" s="11"/>
      <c r="S45" s="11"/>
      <c r="T45" s="11"/>
      <c r="U45" s="15"/>
      <c r="V45" s="11"/>
      <c r="W45" s="11"/>
      <c r="X45" s="11"/>
      <c r="Y45" s="11"/>
      <c r="Z45" s="11"/>
    </row>
    <row r="46">
      <c r="A46" s="18"/>
      <c r="B46" s="11"/>
      <c r="C46" s="11"/>
      <c r="D46" s="11"/>
      <c r="E46" s="11"/>
      <c r="F46" s="11"/>
      <c r="G46" s="11"/>
      <c r="H46" s="11"/>
      <c r="I46" s="11"/>
      <c r="J46" s="11"/>
      <c r="K46" s="11"/>
      <c r="L46" s="15"/>
      <c r="M46" s="15"/>
      <c r="N46" s="15"/>
      <c r="O46" s="15"/>
      <c r="P46" s="15"/>
      <c r="Q46" s="11"/>
      <c r="R46" s="11"/>
      <c r="S46" s="11"/>
      <c r="T46" s="11"/>
      <c r="U46" s="15"/>
      <c r="V46" s="11"/>
      <c r="W46" s="11"/>
      <c r="X46" s="11"/>
      <c r="Y46" s="11"/>
      <c r="Z46" s="11"/>
    </row>
    <row r="47">
      <c r="A47" s="18"/>
      <c r="B47" s="11"/>
      <c r="C47" s="11"/>
      <c r="D47" s="11"/>
      <c r="E47" s="11"/>
      <c r="F47" s="11"/>
      <c r="G47" s="11"/>
      <c r="H47" s="11"/>
      <c r="I47" s="11"/>
      <c r="J47" s="11"/>
      <c r="K47" s="11"/>
      <c r="L47" s="15"/>
      <c r="M47" s="15"/>
      <c r="N47" s="15"/>
      <c r="O47" s="15"/>
      <c r="P47" s="15"/>
      <c r="Q47" s="11"/>
      <c r="R47" s="11"/>
      <c r="S47" s="11"/>
      <c r="T47" s="11"/>
      <c r="U47" s="15"/>
      <c r="V47" s="11"/>
      <c r="W47" s="11"/>
      <c r="X47" s="11"/>
      <c r="Y47" s="11"/>
      <c r="Z47" s="11"/>
    </row>
    <row r="48">
      <c r="A48" s="18"/>
      <c r="B48" s="11"/>
      <c r="C48" s="11"/>
      <c r="D48" s="11"/>
      <c r="E48" s="11"/>
      <c r="F48" s="11"/>
      <c r="G48" s="11"/>
      <c r="H48" s="11"/>
      <c r="I48" s="11"/>
      <c r="J48" s="11"/>
      <c r="K48" s="11"/>
      <c r="L48" s="15"/>
      <c r="M48" s="15"/>
      <c r="N48" s="15"/>
      <c r="O48" s="15"/>
      <c r="P48" s="15"/>
      <c r="Q48" s="11"/>
      <c r="R48" s="11"/>
      <c r="S48" s="11"/>
      <c r="T48" s="11"/>
      <c r="U48" s="15"/>
      <c r="V48" s="11"/>
      <c r="W48" s="11"/>
      <c r="X48" s="11"/>
      <c r="Y48" s="11"/>
      <c r="Z48" s="11"/>
    </row>
    <row r="49">
      <c r="A49" s="18"/>
      <c r="B49" s="11"/>
      <c r="C49" s="11"/>
      <c r="D49" s="11"/>
      <c r="E49" s="11"/>
      <c r="F49" s="11"/>
      <c r="G49" s="11"/>
      <c r="H49" s="11"/>
      <c r="I49" s="11"/>
      <c r="J49" s="11"/>
      <c r="K49" s="11"/>
      <c r="L49" s="15"/>
      <c r="M49" s="15"/>
      <c r="N49" s="15"/>
      <c r="O49" s="15"/>
      <c r="P49" s="15"/>
      <c r="Q49" s="11"/>
      <c r="R49" s="11"/>
      <c r="S49" s="11"/>
      <c r="T49" s="11"/>
      <c r="U49" s="15"/>
      <c r="V49" s="11"/>
      <c r="W49" s="11"/>
      <c r="X49" s="11"/>
      <c r="Y49" s="11"/>
      <c r="Z49" s="11"/>
    </row>
    <row r="50">
      <c r="A50" s="18"/>
      <c r="B50" s="11"/>
      <c r="C50" s="11"/>
      <c r="D50" s="11"/>
      <c r="E50" s="11"/>
      <c r="F50" s="11"/>
      <c r="G50" s="11"/>
      <c r="H50" s="11"/>
      <c r="I50" s="11"/>
      <c r="J50" s="11"/>
      <c r="K50" s="11"/>
      <c r="L50" s="15"/>
      <c r="M50" s="15"/>
      <c r="N50" s="15"/>
      <c r="O50" s="15"/>
      <c r="P50" s="15"/>
      <c r="Q50" s="11"/>
      <c r="R50" s="11"/>
      <c r="S50" s="11"/>
      <c r="T50" s="11"/>
      <c r="U50" s="15"/>
      <c r="V50" s="11"/>
      <c r="W50" s="11"/>
      <c r="X50" s="11"/>
      <c r="Y50" s="11"/>
      <c r="Z50" s="11"/>
    </row>
    <row r="51">
      <c r="A51" s="18"/>
      <c r="B51" s="11"/>
      <c r="C51" s="11"/>
      <c r="D51" s="11"/>
      <c r="E51" s="11"/>
      <c r="F51" s="11"/>
      <c r="G51" s="11"/>
      <c r="H51" s="11"/>
      <c r="I51" s="11"/>
      <c r="J51" s="11"/>
      <c r="K51" s="11"/>
      <c r="L51" s="15"/>
      <c r="M51" s="15"/>
      <c r="N51" s="15"/>
      <c r="O51" s="15"/>
      <c r="P51" s="15"/>
      <c r="Q51" s="11"/>
      <c r="R51" s="11"/>
      <c r="S51" s="11"/>
      <c r="T51" s="11"/>
      <c r="U51" s="15"/>
      <c r="V51" s="11"/>
      <c r="W51" s="11"/>
      <c r="X51" s="11"/>
      <c r="Y51" s="11"/>
      <c r="Z51" s="11"/>
    </row>
    <row r="52">
      <c r="A52" s="18"/>
      <c r="B52" s="11"/>
      <c r="C52" s="11"/>
      <c r="D52" s="11"/>
      <c r="E52" s="11"/>
      <c r="F52" s="11"/>
      <c r="G52" s="11"/>
      <c r="H52" s="11"/>
      <c r="I52" s="11"/>
      <c r="J52" s="11"/>
      <c r="K52" s="11"/>
      <c r="L52" s="15"/>
      <c r="M52" s="15"/>
      <c r="N52" s="15"/>
      <c r="O52" s="15"/>
      <c r="P52" s="15"/>
      <c r="Q52" s="11"/>
      <c r="R52" s="11"/>
      <c r="S52" s="11"/>
      <c r="T52" s="11"/>
      <c r="U52" s="15"/>
      <c r="V52" s="11"/>
      <c r="W52" s="11"/>
      <c r="X52" s="11"/>
      <c r="Y52" s="11"/>
      <c r="Z52" s="11"/>
    </row>
    <row r="53">
      <c r="A53" s="18"/>
      <c r="B53" s="11"/>
      <c r="C53" s="11"/>
      <c r="D53" s="11"/>
      <c r="E53" s="11"/>
      <c r="F53" s="11"/>
      <c r="G53" s="11"/>
      <c r="H53" s="11"/>
      <c r="I53" s="11"/>
      <c r="J53" s="11"/>
      <c r="K53" s="11"/>
      <c r="L53" s="15"/>
      <c r="M53" s="15"/>
      <c r="N53" s="15"/>
      <c r="O53" s="15"/>
      <c r="P53" s="15"/>
      <c r="Q53" s="11"/>
      <c r="R53" s="11"/>
      <c r="S53" s="11"/>
      <c r="T53" s="11"/>
      <c r="U53" s="15"/>
      <c r="V53" s="11"/>
      <c r="W53" s="11"/>
      <c r="X53" s="11"/>
      <c r="Y53" s="11"/>
      <c r="Z53" s="11"/>
    </row>
    <row r="54">
      <c r="A54" s="18"/>
      <c r="B54" s="11"/>
      <c r="C54" s="11"/>
      <c r="D54" s="11"/>
      <c r="E54" s="11"/>
      <c r="F54" s="11"/>
      <c r="G54" s="11"/>
      <c r="H54" s="11"/>
      <c r="I54" s="11"/>
      <c r="J54" s="11"/>
      <c r="K54" s="11"/>
      <c r="L54" s="15"/>
      <c r="M54" s="15"/>
      <c r="N54" s="15"/>
      <c r="O54" s="15"/>
      <c r="P54" s="15"/>
      <c r="Q54" s="11"/>
      <c r="R54" s="11"/>
      <c r="S54" s="11"/>
      <c r="T54" s="11"/>
      <c r="U54" s="15"/>
      <c r="V54" s="11"/>
      <c r="W54" s="11"/>
      <c r="X54" s="11"/>
      <c r="Y54" s="11"/>
      <c r="Z54" s="11"/>
    </row>
    <row r="55">
      <c r="A55" s="18"/>
      <c r="B55" s="11"/>
      <c r="C55" s="11"/>
      <c r="D55" s="11"/>
      <c r="E55" s="11"/>
      <c r="F55" s="11"/>
      <c r="G55" s="11"/>
      <c r="H55" s="11"/>
      <c r="I55" s="11"/>
      <c r="J55" s="11"/>
      <c r="K55" s="11"/>
      <c r="L55" s="15"/>
      <c r="M55" s="15"/>
      <c r="N55" s="15"/>
      <c r="O55" s="15"/>
      <c r="P55" s="15"/>
      <c r="Q55" s="11"/>
      <c r="R55" s="11"/>
      <c r="S55" s="11"/>
      <c r="T55" s="11"/>
      <c r="U55" s="15"/>
      <c r="V55" s="11"/>
      <c r="W55" s="11"/>
      <c r="X55" s="11"/>
      <c r="Y55" s="11"/>
      <c r="Z55" s="11"/>
    </row>
    <row r="56">
      <c r="A56" s="18"/>
      <c r="B56" s="11"/>
      <c r="C56" s="11"/>
      <c r="D56" s="11"/>
      <c r="E56" s="11"/>
      <c r="F56" s="11"/>
      <c r="G56" s="11"/>
      <c r="H56" s="11"/>
      <c r="I56" s="11"/>
      <c r="J56" s="11"/>
      <c r="K56" s="11"/>
      <c r="L56" s="15"/>
      <c r="M56" s="15"/>
      <c r="N56" s="15"/>
      <c r="O56" s="15"/>
      <c r="P56" s="15"/>
      <c r="Q56" s="11"/>
      <c r="R56" s="11"/>
      <c r="S56" s="11"/>
      <c r="T56" s="11"/>
      <c r="U56" s="15"/>
      <c r="V56" s="11"/>
      <c r="W56" s="11"/>
      <c r="X56" s="11"/>
      <c r="Y56" s="11"/>
      <c r="Z56" s="11"/>
    </row>
    <row r="57">
      <c r="A57" s="18"/>
      <c r="B57" s="11"/>
      <c r="C57" s="11"/>
      <c r="D57" s="11"/>
      <c r="E57" s="11"/>
      <c r="F57" s="11"/>
      <c r="G57" s="11"/>
      <c r="H57" s="11"/>
      <c r="I57" s="11"/>
      <c r="J57" s="11"/>
      <c r="K57" s="11"/>
      <c r="L57" s="15"/>
      <c r="M57" s="15"/>
      <c r="N57" s="15"/>
      <c r="O57" s="15"/>
      <c r="P57" s="15"/>
      <c r="Q57" s="11"/>
      <c r="R57" s="11"/>
      <c r="S57" s="11"/>
      <c r="T57" s="11"/>
      <c r="U57" s="15"/>
      <c r="V57" s="11"/>
      <c r="W57" s="11"/>
      <c r="X57" s="11"/>
      <c r="Y57" s="11"/>
      <c r="Z57" s="11"/>
    </row>
    <row r="58">
      <c r="A58" s="18"/>
      <c r="B58" s="11"/>
      <c r="C58" s="11"/>
      <c r="D58" s="11"/>
      <c r="E58" s="11"/>
      <c r="F58" s="11"/>
      <c r="G58" s="11"/>
      <c r="H58" s="11"/>
      <c r="I58" s="11"/>
      <c r="J58" s="11"/>
      <c r="K58" s="11"/>
      <c r="L58" s="15"/>
      <c r="M58" s="15"/>
      <c r="N58" s="15"/>
      <c r="O58" s="15"/>
      <c r="P58" s="15"/>
      <c r="Q58" s="11"/>
      <c r="R58" s="11"/>
      <c r="S58" s="11"/>
      <c r="T58" s="11"/>
      <c r="U58" s="15"/>
      <c r="V58" s="11"/>
      <c r="W58" s="11"/>
      <c r="X58" s="11"/>
      <c r="Y58" s="11"/>
      <c r="Z58" s="11"/>
    </row>
    <row r="59">
      <c r="A59" s="18"/>
      <c r="B59" s="11"/>
      <c r="C59" s="11"/>
      <c r="D59" s="11"/>
      <c r="E59" s="11"/>
      <c r="F59" s="11"/>
      <c r="G59" s="11"/>
      <c r="H59" s="11"/>
      <c r="I59" s="11"/>
      <c r="J59" s="11"/>
      <c r="K59" s="11"/>
      <c r="L59" s="15"/>
      <c r="M59" s="15"/>
      <c r="N59" s="15"/>
      <c r="O59" s="15"/>
      <c r="P59" s="15"/>
      <c r="Q59" s="11"/>
      <c r="R59" s="11"/>
      <c r="S59" s="11"/>
      <c r="T59" s="11"/>
      <c r="U59" s="15"/>
      <c r="V59" s="11"/>
      <c r="W59" s="11"/>
      <c r="X59" s="11"/>
      <c r="Y59" s="11"/>
      <c r="Z59" s="11"/>
    </row>
    <row r="60">
      <c r="A60" s="18"/>
      <c r="B60" s="11"/>
      <c r="C60" s="11"/>
      <c r="D60" s="11"/>
      <c r="E60" s="11"/>
      <c r="F60" s="11"/>
      <c r="G60" s="11"/>
      <c r="H60" s="11"/>
      <c r="I60" s="11"/>
      <c r="J60" s="11"/>
      <c r="K60" s="11"/>
      <c r="L60" s="15"/>
      <c r="M60" s="15"/>
      <c r="N60" s="15"/>
      <c r="O60" s="15"/>
      <c r="P60" s="15"/>
      <c r="Q60" s="11"/>
      <c r="R60" s="11"/>
      <c r="S60" s="11"/>
      <c r="T60" s="11"/>
      <c r="U60" s="15"/>
      <c r="V60" s="11"/>
      <c r="W60" s="11"/>
      <c r="X60" s="11"/>
      <c r="Y60" s="11"/>
      <c r="Z60" s="11"/>
    </row>
    <row r="61">
      <c r="A61" s="18"/>
      <c r="B61" s="11"/>
      <c r="C61" s="11"/>
      <c r="D61" s="11"/>
      <c r="E61" s="11"/>
      <c r="F61" s="11"/>
      <c r="G61" s="11"/>
      <c r="H61" s="11"/>
      <c r="I61" s="11"/>
      <c r="J61" s="11"/>
      <c r="K61" s="11"/>
      <c r="L61" s="15"/>
      <c r="M61" s="15"/>
      <c r="N61" s="15"/>
      <c r="O61" s="15"/>
      <c r="P61" s="15"/>
      <c r="Q61" s="11"/>
      <c r="R61" s="11"/>
      <c r="S61" s="11"/>
      <c r="T61" s="11"/>
      <c r="U61" s="15"/>
      <c r="V61" s="11"/>
      <c r="W61" s="11"/>
      <c r="X61" s="11"/>
      <c r="Y61" s="11"/>
      <c r="Z61" s="11"/>
    </row>
    <row r="62">
      <c r="A62" s="18"/>
      <c r="B62" s="11"/>
      <c r="C62" s="11"/>
      <c r="D62" s="11"/>
      <c r="E62" s="11"/>
      <c r="F62" s="11"/>
      <c r="G62" s="11"/>
      <c r="H62" s="11"/>
      <c r="I62" s="11"/>
      <c r="J62" s="11"/>
      <c r="K62" s="11"/>
      <c r="L62" s="15"/>
      <c r="M62" s="15"/>
      <c r="N62" s="15"/>
      <c r="O62" s="15"/>
      <c r="P62" s="15"/>
      <c r="Q62" s="11"/>
      <c r="R62" s="11"/>
      <c r="S62" s="11"/>
      <c r="T62" s="11"/>
      <c r="U62" s="15"/>
      <c r="V62" s="11"/>
      <c r="W62" s="11"/>
      <c r="X62" s="11"/>
      <c r="Y62" s="11"/>
      <c r="Z62" s="11"/>
    </row>
    <row r="63">
      <c r="A63" s="18"/>
      <c r="B63" s="11"/>
      <c r="C63" s="11"/>
      <c r="D63" s="11"/>
      <c r="E63" s="11"/>
      <c r="F63" s="11"/>
      <c r="G63" s="11"/>
      <c r="H63" s="11"/>
      <c r="I63" s="11"/>
      <c r="J63" s="11"/>
      <c r="K63" s="11"/>
      <c r="L63" s="15"/>
      <c r="M63" s="15"/>
      <c r="N63" s="15"/>
      <c r="O63" s="15"/>
      <c r="P63" s="15"/>
      <c r="Q63" s="11"/>
      <c r="R63" s="11"/>
      <c r="S63" s="11"/>
      <c r="T63" s="11"/>
      <c r="U63" s="15"/>
      <c r="V63" s="11"/>
      <c r="W63" s="11"/>
      <c r="X63" s="11"/>
      <c r="Y63" s="11"/>
      <c r="Z63" s="11"/>
    </row>
    <row r="64">
      <c r="A64" s="18"/>
      <c r="B64" s="11"/>
      <c r="C64" s="11"/>
      <c r="D64" s="11"/>
      <c r="E64" s="11"/>
      <c r="F64" s="11"/>
      <c r="G64" s="11"/>
      <c r="H64" s="11"/>
      <c r="I64" s="11"/>
      <c r="J64" s="11"/>
      <c r="K64" s="11"/>
      <c r="L64" s="15"/>
      <c r="M64" s="15"/>
      <c r="N64" s="15"/>
      <c r="O64" s="15"/>
      <c r="P64" s="15"/>
      <c r="Q64" s="11"/>
      <c r="R64" s="11"/>
      <c r="S64" s="11"/>
      <c r="T64" s="11"/>
      <c r="U64" s="15"/>
      <c r="V64" s="11"/>
      <c r="W64" s="11"/>
      <c r="X64" s="11"/>
      <c r="Y64" s="11"/>
      <c r="Z64" s="11"/>
    </row>
    <row r="65">
      <c r="A65" s="18"/>
      <c r="B65" s="11"/>
      <c r="C65" s="11"/>
      <c r="D65" s="11"/>
      <c r="E65" s="11"/>
      <c r="F65" s="11"/>
      <c r="G65" s="11"/>
      <c r="H65" s="11"/>
      <c r="I65" s="11"/>
      <c r="J65" s="11"/>
      <c r="K65" s="11"/>
      <c r="L65" s="15"/>
      <c r="M65" s="15"/>
      <c r="N65" s="15"/>
      <c r="O65" s="15"/>
      <c r="P65" s="15"/>
      <c r="Q65" s="11"/>
      <c r="R65" s="11"/>
      <c r="S65" s="11"/>
      <c r="T65" s="11"/>
      <c r="U65" s="15"/>
      <c r="V65" s="11"/>
      <c r="W65" s="11"/>
      <c r="X65" s="11"/>
      <c r="Y65" s="11"/>
      <c r="Z65" s="11"/>
    </row>
    <row r="66">
      <c r="A66" s="18"/>
      <c r="B66" s="11"/>
      <c r="C66" s="11"/>
      <c r="D66" s="11"/>
      <c r="E66" s="11"/>
      <c r="F66" s="11"/>
      <c r="G66" s="11"/>
      <c r="H66" s="11"/>
      <c r="I66" s="11"/>
      <c r="J66" s="11"/>
      <c r="K66" s="11"/>
      <c r="L66" s="15"/>
      <c r="M66" s="15"/>
      <c r="N66" s="15"/>
      <c r="O66" s="15"/>
      <c r="P66" s="15"/>
      <c r="Q66" s="11"/>
      <c r="R66" s="11"/>
      <c r="S66" s="11"/>
      <c r="T66" s="11"/>
      <c r="U66" s="15"/>
      <c r="V66" s="11"/>
      <c r="W66" s="11"/>
      <c r="X66" s="11"/>
      <c r="Y66" s="11"/>
      <c r="Z66" s="11"/>
    </row>
    <row r="67">
      <c r="A67" s="18"/>
      <c r="B67" s="11"/>
      <c r="C67" s="11"/>
      <c r="D67" s="11"/>
      <c r="E67" s="11"/>
      <c r="F67" s="11"/>
      <c r="G67" s="11"/>
      <c r="H67" s="11"/>
      <c r="I67" s="11"/>
      <c r="J67" s="11"/>
      <c r="K67" s="11"/>
      <c r="L67" s="15"/>
      <c r="M67" s="15"/>
      <c r="N67" s="15"/>
      <c r="O67" s="15"/>
      <c r="P67" s="15"/>
      <c r="Q67" s="11"/>
      <c r="R67" s="11"/>
      <c r="S67" s="11"/>
      <c r="T67" s="11"/>
      <c r="U67" s="15"/>
      <c r="V67" s="11"/>
      <c r="W67" s="11"/>
      <c r="X67" s="11"/>
      <c r="Y67" s="11"/>
      <c r="Z67" s="11"/>
    </row>
    <row r="68">
      <c r="A68" s="18"/>
      <c r="B68" s="11"/>
      <c r="C68" s="11"/>
      <c r="D68" s="11"/>
      <c r="E68" s="11"/>
      <c r="F68" s="11"/>
      <c r="G68" s="11"/>
      <c r="H68" s="11"/>
      <c r="I68" s="11"/>
      <c r="J68" s="11"/>
      <c r="K68" s="11"/>
      <c r="L68" s="15"/>
      <c r="M68" s="15"/>
      <c r="N68" s="15"/>
      <c r="O68" s="15"/>
      <c r="P68" s="15"/>
      <c r="Q68" s="11"/>
      <c r="R68" s="11"/>
      <c r="S68" s="11"/>
      <c r="T68" s="11"/>
      <c r="U68" s="15"/>
      <c r="V68" s="11"/>
      <c r="W68" s="11"/>
      <c r="X68" s="11"/>
      <c r="Y68" s="11"/>
      <c r="Z68" s="11"/>
    </row>
    <row r="69">
      <c r="A69" s="18"/>
      <c r="B69" s="11"/>
      <c r="C69" s="11"/>
      <c r="D69" s="11"/>
      <c r="E69" s="11"/>
      <c r="F69" s="11"/>
      <c r="G69" s="11"/>
      <c r="H69" s="11"/>
      <c r="I69" s="11"/>
      <c r="J69" s="11"/>
      <c r="K69" s="11"/>
      <c r="L69" s="15"/>
      <c r="M69" s="15"/>
      <c r="N69" s="15"/>
      <c r="O69" s="15"/>
      <c r="P69" s="15"/>
      <c r="Q69" s="11"/>
      <c r="R69" s="11"/>
      <c r="S69" s="11"/>
      <c r="T69" s="11"/>
      <c r="U69" s="15"/>
      <c r="V69" s="11"/>
      <c r="W69" s="11"/>
      <c r="X69" s="11"/>
      <c r="Y69" s="11"/>
      <c r="Z69" s="11"/>
    </row>
    <row r="70">
      <c r="A70" s="18"/>
      <c r="B70" s="11"/>
      <c r="C70" s="11"/>
      <c r="D70" s="11"/>
      <c r="E70" s="11"/>
      <c r="F70" s="11"/>
      <c r="G70" s="11"/>
      <c r="H70" s="11"/>
      <c r="I70" s="11"/>
      <c r="J70" s="11"/>
      <c r="K70" s="11"/>
      <c r="L70" s="15"/>
      <c r="M70" s="15"/>
      <c r="N70" s="15"/>
      <c r="O70" s="15"/>
      <c r="P70" s="15"/>
      <c r="Q70" s="11"/>
      <c r="R70" s="11"/>
      <c r="S70" s="11"/>
      <c r="T70" s="11"/>
      <c r="U70" s="15"/>
      <c r="V70" s="11"/>
      <c r="W70" s="11"/>
      <c r="X70" s="11"/>
      <c r="Y70" s="11"/>
      <c r="Z70" s="11"/>
    </row>
    <row r="71">
      <c r="A71" s="18"/>
      <c r="B71" s="11"/>
      <c r="C71" s="11"/>
      <c r="D71" s="11"/>
      <c r="E71" s="11"/>
      <c r="F71" s="11"/>
      <c r="G71" s="11"/>
      <c r="H71" s="11"/>
      <c r="I71" s="11"/>
      <c r="J71" s="11"/>
      <c r="K71" s="11"/>
      <c r="L71" s="15"/>
      <c r="M71" s="15"/>
      <c r="N71" s="15"/>
      <c r="O71" s="15"/>
      <c r="P71" s="15"/>
      <c r="Q71" s="11"/>
      <c r="R71" s="11"/>
      <c r="S71" s="11"/>
      <c r="T71" s="11"/>
      <c r="U71" s="15"/>
      <c r="V71" s="11"/>
      <c r="W71" s="11"/>
      <c r="X71" s="11"/>
      <c r="Y71" s="11"/>
      <c r="Z71" s="11"/>
    </row>
    <row r="72">
      <c r="A72" s="18"/>
      <c r="B72" s="11"/>
      <c r="C72" s="11"/>
      <c r="D72" s="11"/>
      <c r="E72" s="11"/>
      <c r="F72" s="11"/>
      <c r="G72" s="11"/>
      <c r="H72" s="11"/>
      <c r="I72" s="11"/>
      <c r="J72" s="11"/>
      <c r="K72" s="11"/>
      <c r="L72" s="15"/>
      <c r="M72" s="15"/>
      <c r="N72" s="15"/>
      <c r="O72" s="15"/>
      <c r="P72" s="15"/>
      <c r="Q72" s="11"/>
      <c r="R72" s="11"/>
      <c r="S72" s="11"/>
      <c r="T72" s="11"/>
      <c r="U72" s="15"/>
      <c r="V72" s="11"/>
      <c r="W72" s="11"/>
      <c r="X72" s="11"/>
      <c r="Y72" s="11"/>
      <c r="Z72" s="11"/>
    </row>
    <row r="73">
      <c r="A73" s="18"/>
      <c r="B73" s="11"/>
      <c r="C73" s="11"/>
      <c r="D73" s="11"/>
      <c r="E73" s="11"/>
      <c r="F73" s="11"/>
      <c r="G73" s="11"/>
      <c r="H73" s="11"/>
      <c r="I73" s="11"/>
      <c r="J73" s="11"/>
      <c r="K73" s="11"/>
      <c r="L73" s="15"/>
      <c r="M73" s="15"/>
      <c r="N73" s="15"/>
      <c r="O73" s="15"/>
      <c r="P73" s="15"/>
      <c r="Q73" s="11"/>
      <c r="R73" s="11"/>
      <c r="S73" s="11"/>
      <c r="T73" s="11"/>
      <c r="U73" s="15"/>
      <c r="V73" s="11"/>
      <c r="W73" s="11"/>
      <c r="X73" s="11"/>
      <c r="Y73" s="11"/>
      <c r="Z73" s="11"/>
    </row>
    <row r="74">
      <c r="A74" s="18"/>
      <c r="B74" s="11"/>
      <c r="C74" s="11"/>
      <c r="D74" s="11"/>
      <c r="E74" s="11"/>
      <c r="F74" s="11"/>
      <c r="G74" s="11"/>
      <c r="H74" s="11"/>
      <c r="I74" s="11"/>
      <c r="J74" s="11"/>
      <c r="K74" s="11"/>
      <c r="L74" s="15"/>
      <c r="M74" s="15"/>
      <c r="N74" s="15"/>
      <c r="O74" s="15"/>
      <c r="P74" s="15"/>
      <c r="Q74" s="11"/>
      <c r="R74" s="11"/>
      <c r="S74" s="11"/>
      <c r="T74" s="11"/>
      <c r="U74" s="15"/>
      <c r="V74" s="11"/>
      <c r="W74" s="11"/>
      <c r="X74" s="11"/>
      <c r="Y74" s="11"/>
      <c r="Z74" s="11"/>
    </row>
    <row r="75">
      <c r="A75" s="18"/>
      <c r="B75" s="11"/>
      <c r="C75" s="11"/>
      <c r="D75" s="11"/>
      <c r="E75" s="11"/>
      <c r="F75" s="11"/>
      <c r="G75" s="11"/>
      <c r="H75" s="11"/>
      <c r="I75" s="11"/>
      <c r="J75" s="11"/>
      <c r="K75" s="11"/>
      <c r="L75" s="15"/>
      <c r="M75" s="15"/>
      <c r="N75" s="15"/>
      <c r="O75" s="15"/>
      <c r="P75" s="15"/>
      <c r="Q75" s="11"/>
      <c r="R75" s="11"/>
      <c r="S75" s="11"/>
      <c r="T75" s="11"/>
      <c r="U75" s="15"/>
      <c r="V75" s="11"/>
      <c r="W75" s="11"/>
      <c r="X75" s="11"/>
      <c r="Y75" s="11"/>
      <c r="Z75" s="11"/>
    </row>
    <row r="76">
      <c r="A76" s="18"/>
      <c r="B76" s="11"/>
      <c r="C76" s="11"/>
      <c r="D76" s="11"/>
      <c r="E76" s="11"/>
      <c r="F76" s="11"/>
      <c r="G76" s="11"/>
      <c r="H76" s="11"/>
      <c r="I76" s="11"/>
      <c r="J76" s="11"/>
      <c r="K76" s="11"/>
      <c r="L76" s="15"/>
      <c r="M76" s="15"/>
      <c r="N76" s="15"/>
      <c r="O76" s="15"/>
      <c r="P76" s="15"/>
      <c r="Q76" s="11"/>
      <c r="R76" s="11"/>
      <c r="S76" s="11"/>
      <c r="T76" s="11"/>
      <c r="U76" s="15"/>
      <c r="V76" s="11"/>
      <c r="W76" s="11"/>
      <c r="X76" s="11"/>
      <c r="Y76" s="11"/>
      <c r="Z76" s="11"/>
    </row>
    <row r="77">
      <c r="A77" s="18"/>
      <c r="B77" s="11"/>
      <c r="C77" s="11"/>
      <c r="D77" s="11"/>
      <c r="E77" s="11"/>
      <c r="F77" s="11"/>
      <c r="G77" s="11"/>
      <c r="H77" s="11"/>
      <c r="I77" s="11"/>
      <c r="J77" s="11"/>
      <c r="K77" s="11"/>
      <c r="L77" s="15"/>
      <c r="M77" s="15"/>
      <c r="N77" s="15"/>
      <c r="O77" s="15"/>
      <c r="P77" s="15"/>
      <c r="Q77" s="11"/>
      <c r="R77" s="11"/>
      <c r="S77" s="11"/>
      <c r="T77" s="11"/>
      <c r="U77" s="15"/>
      <c r="V77" s="11"/>
      <c r="W77" s="11"/>
      <c r="X77" s="11"/>
      <c r="Y77" s="11"/>
      <c r="Z77" s="11"/>
    </row>
    <row r="78">
      <c r="A78" s="18"/>
      <c r="B78" s="11"/>
      <c r="C78" s="11"/>
      <c r="D78" s="11"/>
      <c r="E78" s="11"/>
      <c r="F78" s="11"/>
      <c r="G78" s="11"/>
      <c r="H78" s="11"/>
      <c r="I78" s="11"/>
      <c r="J78" s="11"/>
      <c r="K78" s="11"/>
      <c r="L78" s="15"/>
      <c r="M78" s="15"/>
      <c r="N78" s="15"/>
      <c r="O78" s="15"/>
      <c r="P78" s="15"/>
      <c r="Q78" s="11"/>
      <c r="R78" s="11"/>
      <c r="S78" s="11"/>
      <c r="T78" s="11"/>
      <c r="U78" s="15"/>
      <c r="V78" s="11"/>
      <c r="W78" s="11"/>
      <c r="X78" s="11"/>
      <c r="Y78" s="11"/>
      <c r="Z78" s="11"/>
    </row>
    <row r="79">
      <c r="A79" s="18"/>
      <c r="B79" s="11"/>
      <c r="C79" s="11"/>
      <c r="D79" s="11"/>
      <c r="E79" s="11"/>
      <c r="F79" s="11"/>
      <c r="G79" s="11"/>
      <c r="H79" s="11"/>
      <c r="I79" s="11"/>
      <c r="J79" s="11"/>
      <c r="K79" s="11"/>
      <c r="L79" s="15"/>
      <c r="M79" s="15"/>
      <c r="N79" s="15"/>
      <c r="O79" s="15"/>
      <c r="P79" s="15"/>
      <c r="Q79" s="11"/>
      <c r="R79" s="11"/>
      <c r="S79" s="11"/>
      <c r="T79" s="11"/>
      <c r="U79" s="15"/>
      <c r="V79" s="11"/>
      <c r="W79" s="11"/>
      <c r="X79" s="11"/>
      <c r="Y79" s="11"/>
      <c r="Z79" s="11"/>
    </row>
    <row r="80">
      <c r="A80" s="18"/>
      <c r="B80" s="11"/>
      <c r="C80" s="11"/>
      <c r="D80" s="11"/>
      <c r="E80" s="11"/>
      <c r="F80" s="11"/>
      <c r="G80" s="11"/>
      <c r="H80" s="11"/>
      <c r="I80" s="11"/>
      <c r="J80" s="11"/>
      <c r="K80" s="11"/>
      <c r="L80" s="15"/>
      <c r="M80" s="15"/>
      <c r="N80" s="15"/>
      <c r="O80" s="15"/>
      <c r="P80" s="15"/>
      <c r="Q80" s="11"/>
      <c r="R80" s="11"/>
      <c r="S80" s="11"/>
      <c r="T80" s="11"/>
      <c r="U80" s="15"/>
      <c r="V80" s="11"/>
      <c r="W80" s="11"/>
      <c r="X80" s="11"/>
      <c r="Y80" s="11"/>
      <c r="Z80" s="11"/>
    </row>
    <row r="81">
      <c r="A81" s="18"/>
      <c r="B81" s="11"/>
      <c r="C81" s="11"/>
      <c r="D81" s="11"/>
      <c r="E81" s="11"/>
      <c r="F81" s="11"/>
      <c r="G81" s="11"/>
      <c r="H81" s="11"/>
      <c r="I81" s="11"/>
      <c r="J81" s="11"/>
      <c r="K81" s="11"/>
      <c r="L81" s="15"/>
      <c r="M81" s="15"/>
      <c r="N81" s="15"/>
      <c r="O81" s="15"/>
      <c r="P81" s="15"/>
      <c r="Q81" s="11"/>
      <c r="R81" s="11"/>
      <c r="S81" s="11"/>
      <c r="T81" s="11"/>
      <c r="U81" s="15"/>
      <c r="V81" s="11"/>
      <c r="W81" s="11"/>
      <c r="X81" s="11"/>
      <c r="Y81" s="11"/>
      <c r="Z81" s="11"/>
    </row>
    <row r="82">
      <c r="A82" s="18"/>
      <c r="B82" s="11"/>
      <c r="C82" s="11"/>
      <c r="D82" s="11"/>
      <c r="E82" s="11"/>
      <c r="F82" s="11"/>
      <c r="G82" s="11"/>
      <c r="H82" s="11"/>
      <c r="I82" s="11"/>
      <c r="J82" s="11"/>
      <c r="K82" s="11"/>
      <c r="L82" s="15"/>
      <c r="M82" s="15"/>
      <c r="N82" s="15"/>
      <c r="O82" s="15"/>
      <c r="P82" s="15"/>
      <c r="Q82" s="11"/>
      <c r="R82" s="11"/>
      <c r="S82" s="11"/>
      <c r="T82" s="11"/>
      <c r="U82" s="15"/>
      <c r="V82" s="11"/>
      <c r="W82" s="11"/>
      <c r="X82" s="11"/>
      <c r="Y82" s="11"/>
      <c r="Z82" s="11"/>
    </row>
    <row r="83">
      <c r="A83" s="18"/>
      <c r="B83" s="11"/>
      <c r="C83" s="11"/>
      <c r="D83" s="11"/>
      <c r="E83" s="11"/>
      <c r="F83" s="11"/>
      <c r="G83" s="11"/>
      <c r="H83" s="11"/>
      <c r="I83" s="11"/>
      <c r="J83" s="11"/>
      <c r="K83" s="11"/>
      <c r="L83" s="15"/>
      <c r="M83" s="15"/>
      <c r="N83" s="15"/>
      <c r="O83" s="15"/>
      <c r="P83" s="15"/>
      <c r="Q83" s="11"/>
      <c r="R83" s="11"/>
      <c r="S83" s="11"/>
      <c r="T83" s="11"/>
      <c r="U83" s="15"/>
      <c r="V83" s="11"/>
      <c r="W83" s="11"/>
      <c r="X83" s="11"/>
      <c r="Y83" s="11"/>
      <c r="Z83" s="11"/>
    </row>
    <row r="84">
      <c r="A84" s="18"/>
      <c r="B84" s="11"/>
      <c r="C84" s="11"/>
      <c r="D84" s="11"/>
      <c r="E84" s="11"/>
      <c r="F84" s="11"/>
      <c r="G84" s="11"/>
      <c r="H84" s="11"/>
      <c r="I84" s="11"/>
      <c r="J84" s="11"/>
      <c r="K84" s="11"/>
      <c r="L84" s="15"/>
      <c r="M84" s="15"/>
      <c r="N84" s="15"/>
      <c r="O84" s="15"/>
      <c r="P84" s="15"/>
      <c r="Q84" s="11"/>
      <c r="R84" s="11"/>
      <c r="S84" s="11"/>
      <c r="T84" s="11"/>
      <c r="U84" s="15"/>
      <c r="V84" s="11"/>
      <c r="W84" s="11"/>
      <c r="X84" s="11"/>
      <c r="Y84" s="11"/>
      <c r="Z84" s="11"/>
    </row>
    <row r="85">
      <c r="A85" s="18"/>
      <c r="B85" s="11"/>
      <c r="C85" s="11"/>
      <c r="D85" s="11"/>
      <c r="E85" s="11"/>
      <c r="F85" s="11"/>
      <c r="G85" s="11"/>
      <c r="H85" s="11"/>
      <c r="I85" s="11"/>
      <c r="J85" s="11"/>
      <c r="K85" s="11"/>
      <c r="L85" s="15"/>
      <c r="M85" s="15"/>
      <c r="N85" s="15"/>
      <c r="O85" s="15"/>
      <c r="P85" s="15"/>
      <c r="Q85" s="11"/>
      <c r="R85" s="11"/>
      <c r="S85" s="11"/>
      <c r="T85" s="11"/>
      <c r="U85" s="15"/>
      <c r="V85" s="11"/>
      <c r="W85" s="11"/>
      <c r="X85" s="11"/>
      <c r="Y85" s="11"/>
      <c r="Z85" s="11"/>
    </row>
    <row r="86">
      <c r="A86" s="18"/>
      <c r="B86" s="11"/>
      <c r="C86" s="11"/>
      <c r="D86" s="11"/>
      <c r="E86" s="11"/>
      <c r="F86" s="11"/>
      <c r="G86" s="11"/>
      <c r="H86" s="11"/>
      <c r="I86" s="11"/>
      <c r="J86" s="11"/>
      <c r="K86" s="11"/>
      <c r="L86" s="15"/>
      <c r="M86" s="15"/>
      <c r="N86" s="15"/>
      <c r="O86" s="15"/>
      <c r="P86" s="15"/>
      <c r="Q86" s="11"/>
      <c r="R86" s="11"/>
      <c r="S86" s="11"/>
      <c r="T86" s="11"/>
      <c r="U86" s="15"/>
      <c r="V86" s="11"/>
      <c r="W86" s="11"/>
      <c r="X86" s="11"/>
      <c r="Y86" s="11"/>
      <c r="Z86" s="11"/>
    </row>
    <row r="87">
      <c r="A87" s="18"/>
      <c r="B87" s="11"/>
      <c r="C87" s="11"/>
      <c r="D87" s="11"/>
      <c r="E87" s="11"/>
      <c r="F87" s="11"/>
      <c r="G87" s="11"/>
      <c r="H87" s="11"/>
      <c r="I87" s="11"/>
      <c r="J87" s="11"/>
      <c r="K87" s="11"/>
      <c r="L87" s="15"/>
      <c r="M87" s="15"/>
      <c r="N87" s="15"/>
      <c r="O87" s="15"/>
      <c r="P87" s="15"/>
      <c r="Q87" s="11"/>
      <c r="R87" s="11"/>
      <c r="S87" s="11"/>
      <c r="T87" s="11"/>
      <c r="U87" s="15"/>
      <c r="V87" s="11"/>
      <c r="W87" s="11"/>
      <c r="X87" s="11"/>
      <c r="Y87" s="11"/>
      <c r="Z87" s="11"/>
    </row>
    <row r="88">
      <c r="A88" s="18"/>
      <c r="B88" s="11"/>
      <c r="C88" s="11"/>
      <c r="D88" s="11"/>
      <c r="E88" s="11"/>
      <c r="F88" s="11"/>
      <c r="G88" s="11"/>
      <c r="H88" s="11"/>
      <c r="I88" s="11"/>
      <c r="J88" s="11"/>
      <c r="K88" s="11"/>
      <c r="L88" s="15"/>
      <c r="M88" s="15"/>
      <c r="N88" s="15"/>
      <c r="O88" s="15"/>
      <c r="P88" s="15"/>
      <c r="Q88" s="11"/>
      <c r="R88" s="11"/>
      <c r="S88" s="11"/>
      <c r="T88" s="11"/>
      <c r="U88" s="15"/>
      <c r="V88" s="11"/>
      <c r="W88" s="11"/>
      <c r="X88" s="11"/>
      <c r="Y88" s="11"/>
      <c r="Z88" s="11"/>
    </row>
    <row r="89">
      <c r="A89" s="18"/>
      <c r="B89" s="11"/>
      <c r="C89" s="11"/>
      <c r="D89" s="11"/>
      <c r="E89" s="11"/>
      <c r="F89" s="11"/>
      <c r="G89" s="11"/>
      <c r="H89" s="11"/>
      <c r="I89" s="11"/>
      <c r="J89" s="11"/>
      <c r="K89" s="11"/>
      <c r="L89" s="15"/>
      <c r="M89" s="15"/>
      <c r="N89" s="15"/>
      <c r="O89" s="15"/>
      <c r="P89" s="15"/>
      <c r="Q89" s="11"/>
      <c r="R89" s="11"/>
      <c r="S89" s="11"/>
      <c r="T89" s="11"/>
      <c r="U89" s="15"/>
      <c r="V89" s="11"/>
      <c r="W89" s="11"/>
      <c r="X89" s="11"/>
      <c r="Y89" s="11"/>
      <c r="Z89" s="11"/>
    </row>
    <row r="90">
      <c r="A90" s="18"/>
      <c r="B90" s="11"/>
      <c r="C90" s="11"/>
      <c r="D90" s="11"/>
      <c r="E90" s="11"/>
      <c r="F90" s="11"/>
      <c r="G90" s="11"/>
      <c r="H90" s="11"/>
      <c r="I90" s="11"/>
      <c r="J90" s="11"/>
      <c r="K90" s="11"/>
      <c r="L90" s="15"/>
      <c r="M90" s="15"/>
      <c r="N90" s="15"/>
      <c r="O90" s="15"/>
      <c r="P90" s="15"/>
      <c r="Q90" s="11"/>
      <c r="R90" s="11"/>
      <c r="S90" s="11"/>
      <c r="T90" s="11"/>
      <c r="U90" s="15"/>
      <c r="V90" s="11"/>
      <c r="W90" s="11"/>
      <c r="X90" s="11"/>
      <c r="Y90" s="11"/>
      <c r="Z90" s="11"/>
    </row>
    <row r="91">
      <c r="A91" s="18"/>
      <c r="B91" s="11"/>
      <c r="C91" s="11"/>
      <c r="D91" s="11"/>
      <c r="E91" s="11"/>
      <c r="F91" s="11"/>
      <c r="G91" s="11"/>
      <c r="H91" s="11"/>
      <c r="I91" s="11"/>
      <c r="J91" s="11"/>
      <c r="K91" s="11"/>
      <c r="L91" s="15"/>
      <c r="M91" s="15"/>
      <c r="N91" s="15"/>
      <c r="O91" s="15"/>
      <c r="P91" s="15"/>
      <c r="Q91" s="11"/>
      <c r="R91" s="11"/>
      <c r="S91" s="11"/>
      <c r="T91" s="11"/>
      <c r="U91" s="15"/>
      <c r="V91" s="11"/>
      <c r="W91" s="11"/>
      <c r="X91" s="11"/>
      <c r="Y91" s="11"/>
      <c r="Z91" s="11"/>
    </row>
    <row r="92">
      <c r="A92" s="18"/>
      <c r="B92" s="11"/>
      <c r="C92" s="11"/>
      <c r="D92" s="11"/>
      <c r="E92" s="11"/>
      <c r="F92" s="11"/>
      <c r="G92" s="11"/>
      <c r="H92" s="11"/>
      <c r="I92" s="11"/>
      <c r="J92" s="11"/>
      <c r="K92" s="11"/>
      <c r="L92" s="15"/>
      <c r="M92" s="15"/>
      <c r="N92" s="15"/>
      <c r="O92" s="15"/>
      <c r="P92" s="15"/>
      <c r="Q92" s="11"/>
      <c r="R92" s="11"/>
      <c r="S92" s="11"/>
      <c r="T92" s="11"/>
      <c r="U92" s="15"/>
      <c r="V92" s="11"/>
      <c r="W92" s="11"/>
      <c r="X92" s="11"/>
      <c r="Y92" s="11"/>
      <c r="Z92" s="11"/>
    </row>
    <row r="93">
      <c r="A93" s="18"/>
      <c r="B93" s="11"/>
      <c r="C93" s="11"/>
      <c r="D93" s="11"/>
      <c r="E93" s="11"/>
      <c r="F93" s="11"/>
      <c r="G93" s="11"/>
      <c r="H93" s="11"/>
      <c r="I93" s="11"/>
      <c r="J93" s="11"/>
      <c r="K93" s="11"/>
      <c r="L93" s="15"/>
      <c r="M93" s="15"/>
      <c r="N93" s="15"/>
      <c r="O93" s="15"/>
      <c r="P93" s="15"/>
      <c r="Q93" s="11"/>
      <c r="R93" s="11"/>
      <c r="S93" s="11"/>
      <c r="T93" s="11"/>
      <c r="U93" s="15"/>
      <c r="V93" s="11"/>
      <c r="W93" s="11"/>
      <c r="X93" s="11"/>
      <c r="Y93" s="11"/>
      <c r="Z93" s="11"/>
    </row>
    <row r="94">
      <c r="A94" s="18"/>
      <c r="B94" s="11"/>
      <c r="C94" s="11"/>
      <c r="D94" s="11"/>
      <c r="E94" s="11"/>
      <c r="F94" s="11"/>
      <c r="G94" s="11"/>
      <c r="H94" s="11"/>
      <c r="I94" s="11"/>
      <c r="J94" s="11"/>
      <c r="K94" s="11"/>
      <c r="L94" s="15"/>
      <c r="M94" s="15"/>
      <c r="N94" s="15"/>
      <c r="O94" s="15"/>
      <c r="P94" s="15"/>
      <c r="Q94" s="11"/>
      <c r="R94" s="11"/>
      <c r="S94" s="11"/>
      <c r="T94" s="11"/>
      <c r="U94" s="15"/>
      <c r="V94" s="11"/>
      <c r="W94" s="11"/>
      <c r="X94" s="11"/>
      <c r="Y94" s="11"/>
      <c r="Z94" s="11"/>
    </row>
    <row r="95">
      <c r="A95" s="18"/>
      <c r="B95" s="11"/>
      <c r="C95" s="11"/>
      <c r="D95" s="11"/>
      <c r="E95" s="11"/>
      <c r="F95" s="11"/>
      <c r="G95" s="11"/>
      <c r="H95" s="11"/>
      <c r="I95" s="11"/>
      <c r="J95" s="11"/>
      <c r="K95" s="11"/>
      <c r="L95" s="15"/>
      <c r="M95" s="15"/>
      <c r="N95" s="15"/>
      <c r="O95" s="15"/>
      <c r="P95" s="15"/>
      <c r="Q95" s="11"/>
      <c r="R95" s="11"/>
      <c r="S95" s="11"/>
      <c r="T95" s="11"/>
      <c r="U95" s="15"/>
      <c r="V95" s="11"/>
      <c r="W95" s="11"/>
      <c r="X95" s="11"/>
      <c r="Y95" s="11"/>
      <c r="Z95" s="11"/>
    </row>
    <row r="96">
      <c r="A96" s="18"/>
      <c r="B96" s="11"/>
      <c r="C96" s="11"/>
      <c r="D96" s="11"/>
      <c r="E96" s="11"/>
      <c r="F96" s="11"/>
      <c r="G96" s="11"/>
      <c r="H96" s="11"/>
      <c r="I96" s="11"/>
      <c r="J96" s="11"/>
      <c r="K96" s="11"/>
      <c r="L96" s="15"/>
      <c r="M96" s="15"/>
      <c r="N96" s="15"/>
      <c r="O96" s="15"/>
      <c r="P96" s="15"/>
      <c r="Q96" s="11"/>
      <c r="R96" s="11"/>
      <c r="S96" s="11"/>
      <c r="T96" s="11"/>
      <c r="U96" s="15"/>
      <c r="V96" s="11"/>
      <c r="W96" s="11"/>
      <c r="X96" s="11"/>
      <c r="Y96" s="11"/>
      <c r="Z96" s="11"/>
    </row>
    <row r="97">
      <c r="A97" s="18"/>
      <c r="B97" s="11"/>
      <c r="C97" s="11"/>
      <c r="D97" s="11"/>
      <c r="E97" s="11"/>
      <c r="F97" s="11"/>
      <c r="G97" s="11"/>
      <c r="H97" s="11"/>
      <c r="I97" s="11"/>
      <c r="J97" s="11"/>
      <c r="K97" s="11"/>
      <c r="L97" s="15"/>
      <c r="M97" s="15"/>
      <c r="N97" s="15"/>
      <c r="O97" s="15"/>
      <c r="P97" s="15"/>
      <c r="Q97" s="11"/>
      <c r="R97" s="11"/>
      <c r="S97" s="11"/>
      <c r="T97" s="11"/>
      <c r="U97" s="15"/>
      <c r="V97" s="11"/>
      <c r="W97" s="11"/>
      <c r="X97" s="11"/>
      <c r="Y97" s="11"/>
      <c r="Z97" s="11"/>
    </row>
    <row r="98">
      <c r="A98" s="18"/>
      <c r="B98" s="11"/>
      <c r="C98" s="11"/>
      <c r="D98" s="11"/>
      <c r="E98" s="11"/>
      <c r="F98" s="11"/>
      <c r="G98" s="11"/>
      <c r="H98" s="11"/>
      <c r="I98" s="11"/>
      <c r="J98" s="11"/>
      <c r="K98" s="11"/>
      <c r="L98" s="15"/>
      <c r="M98" s="15"/>
      <c r="N98" s="15"/>
      <c r="O98" s="15"/>
      <c r="P98" s="15"/>
      <c r="Q98" s="11"/>
      <c r="R98" s="11"/>
      <c r="S98" s="11"/>
      <c r="T98" s="11"/>
      <c r="U98" s="15"/>
      <c r="V98" s="11"/>
      <c r="W98" s="11"/>
      <c r="X98" s="11"/>
      <c r="Y98" s="11"/>
      <c r="Z98" s="11"/>
    </row>
    <row r="99">
      <c r="A99" s="18"/>
      <c r="B99" s="11"/>
      <c r="C99" s="11"/>
      <c r="D99" s="11"/>
      <c r="E99" s="11"/>
      <c r="F99" s="11"/>
      <c r="G99" s="11"/>
      <c r="H99" s="11"/>
      <c r="I99" s="11"/>
      <c r="J99" s="11"/>
      <c r="K99" s="11"/>
      <c r="L99" s="15"/>
      <c r="M99" s="15"/>
      <c r="N99" s="15"/>
      <c r="O99" s="15"/>
      <c r="P99" s="15"/>
      <c r="Q99" s="11"/>
      <c r="R99" s="11"/>
      <c r="S99" s="11"/>
      <c r="T99" s="11"/>
      <c r="U99" s="15"/>
      <c r="V99" s="11"/>
      <c r="W99" s="11"/>
      <c r="X99" s="11"/>
      <c r="Y99" s="11"/>
      <c r="Z99" s="11"/>
    </row>
    <row r="100">
      <c r="A100" s="18"/>
      <c r="B100" s="11"/>
      <c r="C100" s="11"/>
      <c r="D100" s="11"/>
      <c r="E100" s="11"/>
      <c r="F100" s="11"/>
      <c r="G100" s="11"/>
      <c r="H100" s="11"/>
      <c r="I100" s="11"/>
      <c r="J100" s="11"/>
      <c r="K100" s="11"/>
      <c r="L100" s="15"/>
      <c r="M100" s="15"/>
      <c r="N100" s="15"/>
      <c r="O100" s="15"/>
      <c r="P100" s="15"/>
      <c r="Q100" s="11"/>
      <c r="R100" s="11"/>
      <c r="S100" s="11"/>
      <c r="T100" s="11"/>
      <c r="U100" s="15"/>
      <c r="V100" s="11"/>
      <c r="W100" s="11"/>
      <c r="X100" s="11"/>
      <c r="Y100" s="11"/>
      <c r="Z100" s="11"/>
    </row>
    <row r="101">
      <c r="A101" s="18"/>
      <c r="B101" s="11"/>
      <c r="C101" s="11"/>
      <c r="D101" s="11"/>
      <c r="E101" s="11"/>
      <c r="F101" s="11"/>
      <c r="G101" s="11"/>
      <c r="H101" s="11"/>
      <c r="I101" s="11"/>
      <c r="J101" s="11"/>
      <c r="K101" s="11"/>
      <c r="L101" s="15"/>
      <c r="M101" s="15"/>
      <c r="N101" s="15"/>
      <c r="O101" s="15"/>
      <c r="P101" s="15"/>
      <c r="Q101" s="11"/>
      <c r="R101" s="11"/>
      <c r="S101" s="11"/>
      <c r="T101" s="11"/>
      <c r="U101" s="15"/>
      <c r="V101" s="11"/>
      <c r="W101" s="11"/>
      <c r="X101" s="11"/>
      <c r="Y101" s="11"/>
      <c r="Z101" s="11"/>
    </row>
    <row r="102">
      <c r="A102" s="18"/>
      <c r="B102" s="11"/>
      <c r="C102" s="11"/>
      <c r="D102" s="11"/>
      <c r="E102" s="11"/>
      <c r="F102" s="11"/>
      <c r="G102" s="11"/>
      <c r="H102" s="11"/>
      <c r="I102" s="11"/>
      <c r="J102" s="11"/>
      <c r="K102" s="11"/>
      <c r="L102" s="15"/>
      <c r="M102" s="15"/>
      <c r="N102" s="15"/>
      <c r="O102" s="15"/>
      <c r="P102" s="15"/>
      <c r="Q102" s="11"/>
      <c r="R102" s="11"/>
      <c r="S102" s="11"/>
      <c r="T102" s="11"/>
      <c r="U102" s="15"/>
      <c r="V102" s="11"/>
      <c r="W102" s="11"/>
      <c r="X102" s="11"/>
      <c r="Y102" s="11"/>
      <c r="Z102" s="11"/>
    </row>
    <row r="103">
      <c r="A103" s="18"/>
      <c r="B103" s="11"/>
      <c r="C103" s="11"/>
      <c r="D103" s="11"/>
      <c r="E103" s="11"/>
      <c r="F103" s="11"/>
      <c r="G103" s="11"/>
      <c r="H103" s="11"/>
      <c r="I103" s="11"/>
      <c r="J103" s="11"/>
      <c r="K103" s="11"/>
      <c r="L103" s="15"/>
      <c r="M103" s="15"/>
      <c r="N103" s="15"/>
      <c r="O103" s="15"/>
      <c r="P103" s="15"/>
      <c r="Q103" s="11"/>
      <c r="R103" s="11"/>
      <c r="S103" s="11"/>
      <c r="T103" s="11"/>
      <c r="U103" s="15"/>
      <c r="V103" s="11"/>
      <c r="W103" s="11"/>
      <c r="X103" s="11"/>
      <c r="Y103" s="11"/>
      <c r="Z103" s="11"/>
    </row>
    <row r="104">
      <c r="A104" s="18"/>
      <c r="B104" s="11"/>
      <c r="C104" s="11"/>
      <c r="D104" s="11"/>
      <c r="E104" s="11"/>
      <c r="F104" s="11"/>
      <c r="G104" s="11"/>
      <c r="H104" s="11"/>
      <c r="I104" s="11"/>
      <c r="J104" s="11"/>
      <c r="K104" s="11"/>
      <c r="L104" s="15"/>
      <c r="M104" s="15"/>
      <c r="N104" s="15"/>
      <c r="O104" s="15"/>
      <c r="P104" s="15"/>
      <c r="Q104" s="11"/>
      <c r="R104" s="11"/>
      <c r="S104" s="11"/>
      <c r="T104" s="11"/>
      <c r="U104" s="15"/>
      <c r="V104" s="11"/>
      <c r="W104" s="11"/>
      <c r="X104" s="11"/>
      <c r="Y104" s="11"/>
      <c r="Z104" s="11"/>
    </row>
    <row r="105">
      <c r="A105" s="18"/>
      <c r="B105" s="11"/>
      <c r="C105" s="11"/>
      <c r="D105" s="11"/>
      <c r="E105" s="11"/>
      <c r="F105" s="11"/>
      <c r="G105" s="11"/>
      <c r="H105" s="11"/>
      <c r="I105" s="11"/>
      <c r="J105" s="11"/>
      <c r="K105" s="11"/>
      <c r="L105" s="15"/>
      <c r="M105" s="15"/>
      <c r="N105" s="15"/>
      <c r="O105" s="15"/>
      <c r="P105" s="15"/>
      <c r="Q105" s="11"/>
      <c r="R105" s="11"/>
      <c r="S105" s="11"/>
      <c r="T105" s="11"/>
      <c r="U105" s="15"/>
      <c r="V105" s="11"/>
      <c r="W105" s="11"/>
      <c r="X105" s="11"/>
      <c r="Y105" s="11"/>
      <c r="Z105" s="11"/>
    </row>
    <row r="106">
      <c r="A106" s="18"/>
      <c r="B106" s="11"/>
      <c r="C106" s="11"/>
      <c r="D106" s="11"/>
      <c r="E106" s="11"/>
      <c r="F106" s="11"/>
      <c r="G106" s="11"/>
      <c r="H106" s="11"/>
      <c r="I106" s="11"/>
      <c r="J106" s="11"/>
      <c r="K106" s="11"/>
      <c r="L106" s="15"/>
      <c r="M106" s="15"/>
      <c r="N106" s="15"/>
      <c r="O106" s="15"/>
      <c r="P106" s="15"/>
      <c r="Q106" s="11"/>
      <c r="R106" s="11"/>
      <c r="S106" s="11"/>
      <c r="T106" s="11"/>
      <c r="U106" s="15"/>
      <c r="V106" s="11"/>
      <c r="W106" s="11"/>
      <c r="X106" s="11"/>
      <c r="Y106" s="11"/>
      <c r="Z106" s="11"/>
    </row>
    <row r="107">
      <c r="A107" s="18"/>
      <c r="B107" s="11"/>
      <c r="C107" s="11"/>
      <c r="D107" s="11"/>
      <c r="E107" s="11"/>
      <c r="F107" s="11"/>
      <c r="G107" s="11"/>
      <c r="H107" s="11"/>
      <c r="I107" s="11"/>
      <c r="J107" s="11"/>
      <c r="K107" s="11"/>
      <c r="L107" s="15"/>
      <c r="M107" s="15"/>
      <c r="N107" s="15"/>
      <c r="O107" s="15"/>
      <c r="P107" s="15"/>
      <c r="Q107" s="11"/>
      <c r="R107" s="11"/>
      <c r="S107" s="11"/>
      <c r="T107" s="11"/>
      <c r="U107" s="15"/>
      <c r="V107" s="11"/>
      <c r="W107" s="11"/>
      <c r="X107" s="11"/>
      <c r="Y107" s="11"/>
      <c r="Z107" s="11"/>
    </row>
    <row r="108">
      <c r="A108" s="18"/>
      <c r="B108" s="11"/>
      <c r="C108" s="11"/>
      <c r="D108" s="11"/>
      <c r="E108" s="11"/>
      <c r="F108" s="11"/>
      <c r="G108" s="11"/>
      <c r="H108" s="11"/>
      <c r="I108" s="11"/>
      <c r="J108" s="11"/>
      <c r="K108" s="11"/>
      <c r="L108" s="15"/>
      <c r="M108" s="15"/>
      <c r="N108" s="15"/>
      <c r="O108" s="15"/>
      <c r="P108" s="15"/>
      <c r="Q108" s="11"/>
      <c r="R108" s="11"/>
      <c r="S108" s="11"/>
      <c r="T108" s="11"/>
      <c r="U108" s="15"/>
      <c r="V108" s="11"/>
      <c r="W108" s="11"/>
      <c r="X108" s="11"/>
      <c r="Y108" s="11"/>
      <c r="Z108" s="11"/>
    </row>
    <row r="109">
      <c r="A109" s="18"/>
      <c r="B109" s="11"/>
      <c r="C109" s="11"/>
      <c r="D109" s="11"/>
      <c r="E109" s="11"/>
      <c r="F109" s="11"/>
      <c r="G109" s="11"/>
      <c r="H109" s="11"/>
      <c r="I109" s="11"/>
      <c r="J109" s="11"/>
      <c r="K109" s="11"/>
      <c r="L109" s="15"/>
      <c r="M109" s="15"/>
      <c r="N109" s="15"/>
      <c r="O109" s="15"/>
      <c r="P109" s="15"/>
      <c r="Q109" s="11"/>
      <c r="R109" s="11"/>
      <c r="S109" s="11"/>
      <c r="T109" s="11"/>
      <c r="U109" s="15"/>
      <c r="V109" s="11"/>
      <c r="W109" s="11"/>
      <c r="X109" s="11"/>
      <c r="Y109" s="11"/>
      <c r="Z109" s="11"/>
    </row>
    <row r="110">
      <c r="A110" s="18"/>
      <c r="B110" s="11"/>
      <c r="C110" s="11"/>
      <c r="D110" s="11"/>
      <c r="E110" s="11"/>
      <c r="F110" s="11"/>
      <c r="G110" s="11"/>
      <c r="H110" s="11"/>
      <c r="I110" s="11"/>
      <c r="J110" s="11"/>
      <c r="K110" s="11"/>
      <c r="L110" s="15"/>
      <c r="M110" s="15"/>
      <c r="N110" s="15"/>
      <c r="O110" s="15"/>
      <c r="P110" s="15"/>
      <c r="Q110" s="11"/>
      <c r="R110" s="11"/>
      <c r="S110" s="11"/>
      <c r="T110" s="11"/>
      <c r="U110" s="15"/>
      <c r="V110" s="11"/>
      <c r="W110" s="11"/>
      <c r="X110" s="11"/>
      <c r="Y110" s="11"/>
      <c r="Z110" s="11"/>
    </row>
    <row r="111">
      <c r="A111" s="18"/>
      <c r="B111" s="11"/>
      <c r="C111" s="11"/>
      <c r="D111" s="11"/>
      <c r="E111" s="11"/>
      <c r="F111" s="11"/>
      <c r="G111" s="11"/>
      <c r="H111" s="11"/>
      <c r="I111" s="11"/>
      <c r="J111" s="11"/>
      <c r="K111" s="11"/>
      <c r="L111" s="15"/>
      <c r="M111" s="15"/>
      <c r="N111" s="15"/>
      <c r="O111" s="15"/>
      <c r="P111" s="15"/>
      <c r="Q111" s="11"/>
      <c r="R111" s="11"/>
      <c r="S111" s="11"/>
      <c r="T111" s="11"/>
      <c r="U111" s="15"/>
      <c r="V111" s="11"/>
      <c r="W111" s="11"/>
      <c r="X111" s="11"/>
      <c r="Y111" s="11"/>
      <c r="Z111" s="11"/>
    </row>
    <row r="112">
      <c r="A112" s="18"/>
      <c r="B112" s="11"/>
      <c r="C112" s="11"/>
      <c r="D112" s="11"/>
      <c r="E112" s="11"/>
      <c r="F112" s="11"/>
      <c r="G112" s="11"/>
      <c r="H112" s="11"/>
      <c r="I112" s="11"/>
      <c r="J112" s="11"/>
      <c r="K112" s="11"/>
      <c r="L112" s="15"/>
      <c r="M112" s="15"/>
      <c r="N112" s="15"/>
      <c r="O112" s="15"/>
      <c r="P112" s="15"/>
      <c r="Q112" s="11"/>
      <c r="R112" s="11"/>
      <c r="S112" s="11"/>
      <c r="T112" s="11"/>
      <c r="U112" s="15"/>
      <c r="V112" s="11"/>
      <c r="W112" s="11"/>
      <c r="X112" s="11"/>
      <c r="Y112" s="11"/>
      <c r="Z112" s="11"/>
    </row>
    <row r="113">
      <c r="A113" s="18"/>
      <c r="B113" s="11"/>
      <c r="C113" s="11"/>
      <c r="D113" s="11"/>
      <c r="E113" s="11"/>
      <c r="F113" s="11"/>
      <c r="G113" s="11"/>
      <c r="H113" s="11"/>
      <c r="I113" s="11"/>
      <c r="J113" s="11"/>
      <c r="K113" s="11"/>
      <c r="L113" s="15"/>
      <c r="M113" s="15"/>
      <c r="N113" s="15"/>
      <c r="O113" s="15"/>
      <c r="P113" s="15"/>
      <c r="Q113" s="11"/>
      <c r="R113" s="11"/>
      <c r="S113" s="11"/>
      <c r="T113" s="11"/>
      <c r="U113" s="15"/>
      <c r="V113" s="11"/>
      <c r="W113" s="11"/>
      <c r="X113" s="11"/>
      <c r="Y113" s="11"/>
      <c r="Z113" s="11"/>
    </row>
    <row r="114">
      <c r="A114" s="18"/>
      <c r="B114" s="11"/>
      <c r="C114" s="11"/>
      <c r="D114" s="11"/>
      <c r="E114" s="11"/>
      <c r="F114" s="11"/>
      <c r="G114" s="11"/>
      <c r="H114" s="11"/>
      <c r="I114" s="11"/>
      <c r="J114" s="11"/>
      <c r="K114" s="11"/>
      <c r="L114" s="15"/>
      <c r="M114" s="15"/>
      <c r="N114" s="15"/>
      <c r="O114" s="15"/>
      <c r="P114" s="15"/>
      <c r="Q114" s="11"/>
      <c r="R114" s="11"/>
      <c r="S114" s="11"/>
      <c r="T114" s="11"/>
      <c r="U114" s="15"/>
      <c r="V114" s="11"/>
      <c r="W114" s="11"/>
      <c r="X114" s="11"/>
      <c r="Y114" s="11"/>
      <c r="Z114" s="11"/>
    </row>
    <row r="115">
      <c r="A115" s="18"/>
      <c r="B115" s="11"/>
      <c r="C115" s="11"/>
      <c r="D115" s="11"/>
      <c r="E115" s="11"/>
      <c r="F115" s="11"/>
      <c r="G115" s="11"/>
      <c r="H115" s="11"/>
      <c r="I115" s="11"/>
      <c r="J115" s="11"/>
      <c r="K115" s="11"/>
      <c r="L115" s="15"/>
      <c r="M115" s="15"/>
      <c r="N115" s="15"/>
      <c r="O115" s="15"/>
      <c r="P115" s="15"/>
      <c r="Q115" s="11"/>
      <c r="R115" s="11"/>
      <c r="S115" s="11"/>
      <c r="T115" s="11"/>
      <c r="U115" s="15"/>
      <c r="V115" s="11"/>
      <c r="W115" s="11"/>
      <c r="X115" s="11"/>
      <c r="Y115" s="11"/>
      <c r="Z115" s="11"/>
    </row>
    <row r="116">
      <c r="A116" s="18"/>
      <c r="B116" s="11"/>
      <c r="C116" s="11"/>
      <c r="D116" s="11"/>
      <c r="E116" s="11"/>
      <c r="F116" s="11"/>
      <c r="G116" s="11"/>
      <c r="H116" s="11"/>
      <c r="I116" s="11"/>
      <c r="J116" s="11"/>
      <c r="K116" s="11"/>
      <c r="L116" s="15"/>
      <c r="M116" s="15"/>
      <c r="N116" s="15"/>
      <c r="O116" s="15"/>
      <c r="P116" s="15"/>
      <c r="Q116" s="11"/>
      <c r="R116" s="11"/>
      <c r="S116" s="11"/>
      <c r="T116" s="11"/>
      <c r="U116" s="15"/>
      <c r="V116" s="11"/>
      <c r="W116" s="11"/>
      <c r="X116" s="11"/>
      <c r="Y116" s="11"/>
      <c r="Z116" s="11"/>
    </row>
    <row r="117">
      <c r="A117" s="18"/>
      <c r="B117" s="11"/>
      <c r="C117" s="11"/>
      <c r="D117" s="11"/>
      <c r="E117" s="11"/>
      <c r="F117" s="11"/>
      <c r="G117" s="11"/>
      <c r="H117" s="11"/>
      <c r="I117" s="11"/>
      <c r="J117" s="11"/>
      <c r="K117" s="11"/>
      <c r="L117" s="15"/>
      <c r="M117" s="15"/>
      <c r="N117" s="15"/>
      <c r="O117" s="15"/>
      <c r="P117" s="15"/>
      <c r="Q117" s="11"/>
      <c r="R117" s="11"/>
      <c r="S117" s="11"/>
      <c r="T117" s="11"/>
      <c r="U117" s="15"/>
      <c r="V117" s="11"/>
      <c r="W117" s="11"/>
      <c r="X117" s="11"/>
      <c r="Y117" s="11"/>
      <c r="Z117" s="11"/>
    </row>
    <row r="118">
      <c r="A118" s="18"/>
      <c r="B118" s="11"/>
      <c r="C118" s="11"/>
      <c r="D118" s="11"/>
      <c r="E118" s="11"/>
      <c r="F118" s="11"/>
      <c r="G118" s="11"/>
      <c r="H118" s="11"/>
      <c r="I118" s="11"/>
      <c r="J118" s="11"/>
      <c r="K118" s="11"/>
      <c r="L118" s="15"/>
      <c r="M118" s="15"/>
      <c r="N118" s="15"/>
      <c r="O118" s="15"/>
      <c r="P118" s="15"/>
      <c r="Q118" s="11"/>
      <c r="R118" s="11"/>
      <c r="S118" s="11"/>
      <c r="T118" s="11"/>
      <c r="U118" s="15"/>
      <c r="V118" s="11"/>
      <c r="W118" s="11"/>
      <c r="X118" s="11"/>
      <c r="Y118" s="11"/>
      <c r="Z118" s="11"/>
    </row>
    <row r="119">
      <c r="A119" s="18"/>
      <c r="B119" s="11"/>
      <c r="C119" s="11"/>
      <c r="D119" s="11"/>
      <c r="E119" s="11"/>
      <c r="F119" s="11"/>
      <c r="G119" s="11"/>
      <c r="H119" s="11"/>
      <c r="I119" s="11"/>
      <c r="J119" s="11"/>
      <c r="K119" s="11"/>
      <c r="L119" s="15"/>
      <c r="M119" s="15"/>
      <c r="N119" s="15"/>
      <c r="O119" s="15"/>
      <c r="P119" s="15"/>
      <c r="Q119" s="11"/>
      <c r="R119" s="11"/>
      <c r="S119" s="11"/>
      <c r="T119" s="11"/>
      <c r="U119" s="15"/>
      <c r="V119" s="11"/>
      <c r="W119" s="11"/>
      <c r="X119" s="11"/>
      <c r="Y119" s="11"/>
      <c r="Z119" s="11"/>
    </row>
    <row r="120">
      <c r="A120" s="18"/>
      <c r="B120" s="11"/>
      <c r="C120" s="11"/>
      <c r="D120" s="11"/>
      <c r="E120" s="11"/>
      <c r="F120" s="11"/>
      <c r="G120" s="11"/>
      <c r="H120" s="11"/>
      <c r="I120" s="11"/>
      <c r="J120" s="11"/>
      <c r="K120" s="11"/>
      <c r="L120" s="15"/>
      <c r="M120" s="15"/>
      <c r="N120" s="15"/>
      <c r="O120" s="15"/>
      <c r="P120" s="15"/>
      <c r="Q120" s="11"/>
      <c r="R120" s="11"/>
      <c r="S120" s="11"/>
      <c r="T120" s="11"/>
      <c r="U120" s="15"/>
      <c r="V120" s="11"/>
      <c r="W120" s="11"/>
      <c r="X120" s="11"/>
      <c r="Y120" s="11"/>
      <c r="Z120" s="11"/>
    </row>
    <row r="121">
      <c r="A121" s="18"/>
      <c r="B121" s="11"/>
      <c r="C121" s="11"/>
      <c r="D121" s="11"/>
      <c r="E121" s="11"/>
      <c r="F121" s="11"/>
      <c r="G121" s="11"/>
      <c r="H121" s="11"/>
      <c r="I121" s="11"/>
      <c r="J121" s="11"/>
      <c r="K121" s="11"/>
      <c r="L121" s="15"/>
      <c r="M121" s="15"/>
      <c r="N121" s="15"/>
      <c r="O121" s="15"/>
      <c r="P121" s="15"/>
      <c r="Q121" s="11"/>
      <c r="R121" s="11"/>
      <c r="S121" s="11"/>
      <c r="T121" s="11"/>
      <c r="U121" s="15"/>
      <c r="V121" s="11"/>
      <c r="W121" s="11"/>
      <c r="X121" s="11"/>
      <c r="Y121" s="11"/>
      <c r="Z121" s="11"/>
    </row>
    <row r="122">
      <c r="A122" s="18"/>
      <c r="B122" s="11"/>
      <c r="C122" s="11"/>
      <c r="D122" s="11"/>
      <c r="E122" s="11"/>
      <c r="F122" s="11"/>
      <c r="G122" s="11"/>
      <c r="H122" s="11"/>
      <c r="I122" s="11"/>
      <c r="J122" s="11"/>
      <c r="K122" s="11"/>
      <c r="L122" s="15"/>
      <c r="M122" s="15"/>
      <c r="N122" s="15"/>
      <c r="O122" s="15"/>
      <c r="P122" s="15"/>
      <c r="Q122" s="11"/>
      <c r="R122" s="11"/>
      <c r="S122" s="11"/>
      <c r="T122" s="11"/>
      <c r="U122" s="15"/>
      <c r="V122" s="11"/>
      <c r="W122" s="11"/>
      <c r="X122" s="11"/>
      <c r="Y122" s="11"/>
      <c r="Z122" s="11"/>
    </row>
    <row r="123">
      <c r="A123" s="18"/>
      <c r="B123" s="11"/>
      <c r="C123" s="11"/>
      <c r="D123" s="11"/>
      <c r="E123" s="11"/>
      <c r="F123" s="11"/>
      <c r="G123" s="11"/>
      <c r="H123" s="11"/>
      <c r="I123" s="11"/>
      <c r="J123" s="11"/>
      <c r="K123" s="11"/>
      <c r="L123" s="15"/>
      <c r="M123" s="15"/>
      <c r="N123" s="15"/>
      <c r="O123" s="15"/>
      <c r="P123" s="15"/>
      <c r="Q123" s="11"/>
      <c r="R123" s="11"/>
      <c r="S123" s="11"/>
      <c r="T123" s="11"/>
      <c r="U123" s="15"/>
      <c r="V123" s="11"/>
      <c r="W123" s="11"/>
      <c r="X123" s="11"/>
      <c r="Y123" s="11"/>
      <c r="Z123" s="11"/>
    </row>
    <row r="124">
      <c r="A124" s="18"/>
      <c r="B124" s="11"/>
      <c r="C124" s="11"/>
      <c r="D124" s="11"/>
      <c r="E124" s="11"/>
      <c r="F124" s="11"/>
      <c r="G124" s="11"/>
      <c r="H124" s="11"/>
      <c r="I124" s="11"/>
      <c r="J124" s="11"/>
      <c r="K124" s="11"/>
      <c r="L124" s="15"/>
      <c r="M124" s="15"/>
      <c r="N124" s="15"/>
      <c r="O124" s="15"/>
      <c r="P124" s="15"/>
      <c r="Q124" s="11"/>
      <c r="R124" s="11"/>
      <c r="S124" s="11"/>
      <c r="T124" s="11"/>
      <c r="U124" s="15"/>
      <c r="V124" s="11"/>
      <c r="W124" s="11"/>
      <c r="X124" s="11"/>
      <c r="Y124" s="11"/>
      <c r="Z124" s="11"/>
    </row>
    <row r="125">
      <c r="A125" s="18"/>
      <c r="B125" s="11"/>
      <c r="C125" s="11"/>
      <c r="D125" s="11"/>
      <c r="E125" s="11"/>
      <c r="F125" s="11"/>
      <c r="G125" s="11"/>
      <c r="H125" s="11"/>
      <c r="I125" s="11"/>
      <c r="J125" s="11"/>
      <c r="K125" s="11"/>
      <c r="L125" s="15"/>
      <c r="M125" s="15"/>
      <c r="N125" s="15"/>
      <c r="O125" s="15"/>
      <c r="P125" s="15"/>
      <c r="Q125" s="11"/>
      <c r="R125" s="11"/>
      <c r="S125" s="11"/>
      <c r="T125" s="11"/>
      <c r="U125" s="15"/>
      <c r="V125" s="11"/>
      <c r="W125" s="11"/>
      <c r="X125" s="11"/>
      <c r="Y125" s="11"/>
      <c r="Z125" s="11"/>
    </row>
    <row r="126">
      <c r="A126" s="18"/>
      <c r="B126" s="11"/>
      <c r="C126" s="11"/>
      <c r="D126" s="11"/>
      <c r="E126" s="11"/>
      <c r="F126" s="11"/>
      <c r="G126" s="11"/>
      <c r="H126" s="11"/>
      <c r="I126" s="11"/>
      <c r="J126" s="11"/>
      <c r="K126" s="11"/>
      <c r="L126" s="15"/>
      <c r="M126" s="15"/>
      <c r="N126" s="15"/>
      <c r="O126" s="15"/>
      <c r="P126" s="15"/>
      <c r="Q126" s="11"/>
      <c r="R126" s="11"/>
      <c r="S126" s="11"/>
      <c r="T126" s="11"/>
      <c r="U126" s="15"/>
      <c r="V126" s="11"/>
      <c r="W126" s="11"/>
      <c r="X126" s="11"/>
      <c r="Y126" s="11"/>
      <c r="Z126" s="11"/>
    </row>
    <row r="127">
      <c r="A127" s="18"/>
      <c r="B127" s="11"/>
      <c r="C127" s="11"/>
      <c r="D127" s="11"/>
      <c r="E127" s="11"/>
      <c r="F127" s="11"/>
      <c r="G127" s="11"/>
      <c r="H127" s="11"/>
      <c r="I127" s="11"/>
      <c r="J127" s="11"/>
      <c r="K127" s="11"/>
      <c r="L127" s="15"/>
      <c r="M127" s="15"/>
      <c r="N127" s="15"/>
      <c r="O127" s="15"/>
      <c r="P127" s="15"/>
      <c r="Q127" s="11"/>
      <c r="R127" s="11"/>
      <c r="S127" s="11"/>
      <c r="T127" s="11"/>
      <c r="U127" s="15"/>
      <c r="V127" s="11"/>
      <c r="W127" s="11"/>
      <c r="X127" s="11"/>
      <c r="Y127" s="11"/>
      <c r="Z127" s="11"/>
    </row>
    <row r="128">
      <c r="A128" s="18"/>
      <c r="B128" s="11"/>
      <c r="C128" s="11"/>
      <c r="D128" s="11"/>
      <c r="E128" s="11"/>
      <c r="F128" s="11"/>
      <c r="G128" s="11"/>
      <c r="H128" s="11"/>
      <c r="I128" s="11"/>
      <c r="J128" s="11"/>
      <c r="K128" s="11"/>
      <c r="L128" s="15"/>
      <c r="M128" s="15"/>
      <c r="N128" s="15"/>
      <c r="O128" s="15"/>
      <c r="P128" s="15"/>
      <c r="Q128" s="11"/>
      <c r="R128" s="11"/>
      <c r="S128" s="11"/>
      <c r="T128" s="11"/>
      <c r="U128" s="15"/>
      <c r="V128" s="11"/>
      <c r="W128" s="11"/>
      <c r="X128" s="11"/>
      <c r="Y128" s="11"/>
      <c r="Z128" s="11"/>
    </row>
    <row r="129">
      <c r="A129" s="18"/>
      <c r="B129" s="11"/>
      <c r="C129" s="11"/>
      <c r="D129" s="11"/>
      <c r="E129" s="11"/>
      <c r="F129" s="11"/>
      <c r="G129" s="11"/>
      <c r="H129" s="11"/>
      <c r="I129" s="11"/>
      <c r="J129" s="11"/>
      <c r="K129" s="11"/>
      <c r="L129" s="15"/>
      <c r="M129" s="15"/>
      <c r="N129" s="15"/>
      <c r="O129" s="15"/>
      <c r="P129" s="15"/>
      <c r="Q129" s="11"/>
      <c r="R129" s="11"/>
      <c r="S129" s="11"/>
      <c r="T129" s="11"/>
      <c r="U129" s="15"/>
      <c r="V129" s="11"/>
      <c r="W129" s="11"/>
      <c r="X129" s="11"/>
      <c r="Y129" s="11"/>
      <c r="Z129" s="11"/>
    </row>
    <row r="130">
      <c r="A130" s="18"/>
      <c r="B130" s="11"/>
      <c r="C130" s="11"/>
      <c r="D130" s="11"/>
      <c r="E130" s="11"/>
      <c r="F130" s="11"/>
      <c r="G130" s="11"/>
      <c r="H130" s="11"/>
      <c r="I130" s="11"/>
      <c r="J130" s="11"/>
      <c r="K130" s="11"/>
      <c r="L130" s="15"/>
      <c r="M130" s="15"/>
      <c r="N130" s="15"/>
      <c r="O130" s="15"/>
      <c r="P130" s="15"/>
      <c r="Q130" s="11"/>
      <c r="R130" s="11"/>
      <c r="S130" s="11"/>
      <c r="T130" s="11"/>
      <c r="U130" s="15"/>
      <c r="V130" s="11"/>
      <c r="W130" s="11"/>
      <c r="X130" s="11"/>
      <c r="Y130" s="11"/>
      <c r="Z130" s="11"/>
    </row>
    <row r="131">
      <c r="A131" s="18"/>
      <c r="B131" s="11"/>
      <c r="C131" s="11"/>
      <c r="D131" s="11"/>
      <c r="E131" s="11"/>
      <c r="F131" s="11"/>
      <c r="G131" s="11"/>
      <c r="H131" s="11"/>
      <c r="I131" s="11"/>
      <c r="J131" s="11"/>
      <c r="K131" s="11"/>
      <c r="L131" s="15"/>
      <c r="M131" s="15"/>
      <c r="N131" s="15"/>
      <c r="O131" s="15"/>
      <c r="P131" s="15"/>
      <c r="Q131" s="11"/>
      <c r="R131" s="11"/>
      <c r="S131" s="11"/>
      <c r="T131" s="11"/>
      <c r="U131" s="15"/>
      <c r="V131" s="11"/>
      <c r="W131" s="11"/>
      <c r="X131" s="11"/>
      <c r="Y131" s="11"/>
      <c r="Z131" s="11"/>
    </row>
    <row r="132">
      <c r="A132" s="18"/>
      <c r="B132" s="11"/>
      <c r="C132" s="11"/>
      <c r="D132" s="11"/>
      <c r="E132" s="11"/>
      <c r="F132" s="11"/>
      <c r="G132" s="11"/>
      <c r="H132" s="11"/>
      <c r="I132" s="11"/>
      <c r="J132" s="11"/>
      <c r="K132" s="11"/>
      <c r="L132" s="15"/>
      <c r="M132" s="15"/>
      <c r="N132" s="15"/>
      <c r="O132" s="15"/>
      <c r="P132" s="15"/>
      <c r="Q132" s="11"/>
      <c r="R132" s="11"/>
      <c r="S132" s="11"/>
      <c r="T132" s="11"/>
      <c r="U132" s="15"/>
      <c r="V132" s="11"/>
      <c r="W132" s="11"/>
      <c r="X132" s="11"/>
      <c r="Y132" s="11"/>
      <c r="Z132" s="11"/>
    </row>
    <row r="133">
      <c r="A133" s="18"/>
      <c r="B133" s="11"/>
      <c r="C133" s="11"/>
      <c r="D133" s="11"/>
      <c r="E133" s="11"/>
      <c r="F133" s="11"/>
      <c r="G133" s="11"/>
      <c r="H133" s="11"/>
      <c r="I133" s="11"/>
      <c r="J133" s="11"/>
      <c r="K133" s="11"/>
      <c r="L133" s="15"/>
      <c r="M133" s="15"/>
      <c r="N133" s="15"/>
      <c r="O133" s="15"/>
      <c r="P133" s="15"/>
      <c r="Q133" s="11"/>
      <c r="R133" s="11"/>
      <c r="S133" s="11"/>
      <c r="T133" s="11"/>
      <c r="U133" s="15"/>
      <c r="V133" s="11"/>
      <c r="W133" s="11"/>
      <c r="X133" s="11"/>
      <c r="Y133" s="11"/>
      <c r="Z133" s="11"/>
    </row>
    <row r="134">
      <c r="A134" s="18"/>
      <c r="B134" s="11"/>
      <c r="C134" s="11"/>
      <c r="D134" s="11"/>
      <c r="E134" s="11"/>
      <c r="F134" s="11"/>
      <c r="G134" s="11"/>
      <c r="H134" s="11"/>
      <c r="I134" s="11"/>
      <c r="J134" s="11"/>
      <c r="K134" s="11"/>
      <c r="L134" s="15"/>
      <c r="M134" s="15"/>
      <c r="N134" s="15"/>
      <c r="O134" s="15"/>
      <c r="P134" s="15"/>
      <c r="Q134" s="11"/>
      <c r="R134" s="11"/>
      <c r="S134" s="11"/>
      <c r="T134" s="11"/>
      <c r="U134" s="15"/>
      <c r="V134" s="11"/>
      <c r="W134" s="11"/>
      <c r="X134" s="11"/>
      <c r="Y134" s="11"/>
      <c r="Z134" s="11"/>
    </row>
    <row r="135">
      <c r="A135" s="18"/>
      <c r="B135" s="11"/>
      <c r="C135" s="11"/>
      <c r="D135" s="11"/>
      <c r="E135" s="11"/>
      <c r="F135" s="11"/>
      <c r="G135" s="11"/>
      <c r="H135" s="11"/>
      <c r="I135" s="11"/>
      <c r="J135" s="11"/>
      <c r="K135" s="11"/>
      <c r="L135" s="15"/>
      <c r="M135" s="15"/>
      <c r="N135" s="15"/>
      <c r="O135" s="15"/>
      <c r="P135" s="15"/>
      <c r="Q135" s="11"/>
      <c r="R135" s="11"/>
      <c r="S135" s="11"/>
      <c r="T135" s="11"/>
      <c r="U135" s="15"/>
      <c r="V135" s="11"/>
      <c r="W135" s="11"/>
      <c r="X135" s="11"/>
      <c r="Y135" s="11"/>
      <c r="Z135" s="11"/>
    </row>
    <row r="136">
      <c r="A136" s="18"/>
      <c r="B136" s="11"/>
      <c r="C136" s="11"/>
      <c r="D136" s="11"/>
      <c r="E136" s="11"/>
      <c r="F136" s="11"/>
      <c r="G136" s="11"/>
      <c r="H136" s="11"/>
      <c r="I136" s="11"/>
      <c r="J136" s="11"/>
      <c r="K136" s="11"/>
      <c r="L136" s="15"/>
      <c r="M136" s="15"/>
      <c r="N136" s="15"/>
      <c r="O136" s="15"/>
      <c r="P136" s="15"/>
      <c r="Q136" s="11"/>
      <c r="R136" s="11"/>
      <c r="S136" s="11"/>
      <c r="T136" s="11"/>
      <c r="U136" s="15"/>
      <c r="V136" s="11"/>
      <c r="W136" s="11"/>
      <c r="X136" s="11"/>
      <c r="Y136" s="11"/>
      <c r="Z136" s="11"/>
    </row>
    <row r="137">
      <c r="A137" s="18"/>
      <c r="B137" s="11"/>
      <c r="C137" s="11"/>
      <c r="D137" s="11"/>
      <c r="E137" s="11"/>
      <c r="F137" s="11"/>
      <c r="G137" s="11"/>
      <c r="H137" s="11"/>
      <c r="I137" s="11"/>
      <c r="J137" s="11"/>
      <c r="K137" s="11"/>
      <c r="L137" s="15"/>
      <c r="M137" s="15"/>
      <c r="N137" s="15"/>
      <c r="O137" s="15"/>
      <c r="P137" s="15"/>
      <c r="Q137" s="11"/>
      <c r="R137" s="11"/>
      <c r="S137" s="11"/>
      <c r="T137" s="11"/>
      <c r="U137" s="15"/>
      <c r="V137" s="11"/>
      <c r="W137" s="11"/>
      <c r="X137" s="11"/>
      <c r="Y137" s="11"/>
      <c r="Z137" s="11"/>
    </row>
    <row r="138">
      <c r="A138" s="18"/>
      <c r="B138" s="11"/>
      <c r="C138" s="11"/>
      <c r="D138" s="11"/>
      <c r="E138" s="11"/>
      <c r="F138" s="11"/>
      <c r="G138" s="11"/>
      <c r="H138" s="11"/>
      <c r="I138" s="11"/>
      <c r="J138" s="11"/>
      <c r="K138" s="11"/>
      <c r="L138" s="15"/>
      <c r="M138" s="15"/>
      <c r="N138" s="15"/>
      <c r="O138" s="15"/>
      <c r="P138" s="15"/>
      <c r="Q138" s="11"/>
      <c r="R138" s="11"/>
      <c r="S138" s="11"/>
      <c r="T138" s="11"/>
      <c r="U138" s="15"/>
      <c r="V138" s="11"/>
      <c r="W138" s="11"/>
      <c r="X138" s="11"/>
      <c r="Y138" s="11"/>
      <c r="Z138" s="11"/>
    </row>
    <row r="139">
      <c r="A139" s="18"/>
      <c r="B139" s="11"/>
      <c r="C139" s="11"/>
      <c r="D139" s="11"/>
      <c r="E139" s="11"/>
      <c r="F139" s="11"/>
      <c r="G139" s="11"/>
      <c r="H139" s="11"/>
      <c r="I139" s="11"/>
      <c r="J139" s="11"/>
      <c r="K139" s="11"/>
      <c r="L139" s="15"/>
      <c r="M139" s="15"/>
      <c r="N139" s="15"/>
      <c r="O139" s="15"/>
      <c r="P139" s="15"/>
      <c r="Q139" s="11"/>
      <c r="R139" s="11"/>
      <c r="S139" s="11"/>
      <c r="T139" s="11"/>
      <c r="U139" s="15"/>
      <c r="V139" s="11"/>
      <c r="W139" s="11"/>
      <c r="X139" s="11"/>
      <c r="Y139" s="11"/>
      <c r="Z139" s="11"/>
    </row>
    <row r="140">
      <c r="A140" s="18"/>
      <c r="B140" s="11"/>
      <c r="C140" s="11"/>
      <c r="D140" s="11"/>
      <c r="E140" s="11"/>
      <c r="F140" s="11"/>
      <c r="G140" s="11"/>
      <c r="H140" s="11"/>
      <c r="I140" s="11"/>
      <c r="J140" s="11"/>
      <c r="K140" s="11"/>
      <c r="L140" s="15"/>
      <c r="M140" s="15"/>
      <c r="N140" s="15"/>
      <c r="O140" s="15"/>
      <c r="P140" s="15"/>
      <c r="Q140" s="11"/>
      <c r="R140" s="11"/>
      <c r="S140" s="11"/>
      <c r="T140" s="11"/>
      <c r="U140" s="15"/>
      <c r="V140" s="11"/>
      <c r="W140" s="11"/>
      <c r="X140" s="11"/>
      <c r="Y140" s="11"/>
      <c r="Z140" s="11"/>
    </row>
    <row r="141">
      <c r="A141" s="18"/>
      <c r="B141" s="11"/>
      <c r="C141" s="11"/>
      <c r="D141" s="11"/>
      <c r="E141" s="11"/>
      <c r="F141" s="11"/>
      <c r="G141" s="11"/>
      <c r="H141" s="11"/>
      <c r="I141" s="11"/>
      <c r="J141" s="11"/>
      <c r="K141" s="11"/>
      <c r="L141" s="15"/>
      <c r="M141" s="15"/>
      <c r="N141" s="15"/>
      <c r="O141" s="15"/>
      <c r="P141" s="15"/>
      <c r="Q141" s="11"/>
      <c r="R141" s="11"/>
      <c r="S141" s="11"/>
      <c r="T141" s="11"/>
      <c r="U141" s="15"/>
      <c r="V141" s="11"/>
      <c r="W141" s="11"/>
      <c r="X141" s="11"/>
      <c r="Y141" s="11"/>
      <c r="Z141" s="11"/>
    </row>
    <row r="142">
      <c r="A142" s="18"/>
      <c r="B142" s="11"/>
      <c r="C142" s="11"/>
      <c r="D142" s="11"/>
      <c r="E142" s="11"/>
      <c r="F142" s="11"/>
      <c r="G142" s="11"/>
      <c r="H142" s="11"/>
      <c r="I142" s="11"/>
      <c r="J142" s="11"/>
      <c r="K142" s="11"/>
      <c r="L142" s="15"/>
      <c r="M142" s="15"/>
      <c r="N142" s="15"/>
      <c r="O142" s="15"/>
      <c r="P142" s="15"/>
      <c r="Q142" s="11"/>
      <c r="R142" s="11"/>
      <c r="S142" s="11"/>
      <c r="T142" s="11"/>
      <c r="U142" s="15"/>
      <c r="V142" s="11"/>
      <c r="W142" s="11"/>
      <c r="X142" s="11"/>
      <c r="Y142" s="11"/>
      <c r="Z142" s="11"/>
    </row>
    <row r="143">
      <c r="A143" s="18"/>
      <c r="B143" s="11"/>
      <c r="C143" s="11"/>
      <c r="D143" s="11"/>
      <c r="E143" s="11"/>
      <c r="F143" s="11"/>
      <c r="G143" s="11"/>
      <c r="H143" s="11"/>
      <c r="I143" s="11"/>
      <c r="J143" s="11"/>
      <c r="K143" s="11"/>
      <c r="L143" s="15"/>
      <c r="M143" s="15"/>
      <c r="N143" s="15"/>
      <c r="O143" s="15"/>
      <c r="P143" s="15"/>
      <c r="Q143" s="11"/>
      <c r="R143" s="11"/>
      <c r="S143" s="11"/>
      <c r="T143" s="11"/>
      <c r="U143" s="15"/>
      <c r="V143" s="11"/>
      <c r="W143" s="11"/>
      <c r="X143" s="11"/>
      <c r="Y143" s="11"/>
      <c r="Z143" s="11"/>
    </row>
    <row r="144">
      <c r="A144" s="18"/>
      <c r="B144" s="11"/>
      <c r="C144" s="11"/>
      <c r="D144" s="11"/>
      <c r="E144" s="11"/>
      <c r="F144" s="11"/>
      <c r="G144" s="11"/>
      <c r="H144" s="11"/>
      <c r="I144" s="11"/>
      <c r="J144" s="11"/>
      <c r="K144" s="11"/>
      <c r="L144" s="15"/>
      <c r="M144" s="15"/>
      <c r="N144" s="15"/>
      <c r="O144" s="15"/>
      <c r="P144" s="15"/>
      <c r="Q144" s="11"/>
      <c r="R144" s="11"/>
      <c r="S144" s="11"/>
      <c r="T144" s="11"/>
      <c r="U144" s="15"/>
      <c r="V144" s="11"/>
      <c r="W144" s="11"/>
      <c r="X144" s="11"/>
      <c r="Y144" s="11"/>
      <c r="Z144" s="11"/>
    </row>
    <row r="145">
      <c r="A145" s="18"/>
      <c r="B145" s="11"/>
      <c r="C145" s="11"/>
      <c r="D145" s="11"/>
      <c r="E145" s="11"/>
      <c r="F145" s="11"/>
      <c r="G145" s="11"/>
      <c r="H145" s="11"/>
      <c r="I145" s="11"/>
      <c r="J145" s="11"/>
      <c r="K145" s="11"/>
      <c r="L145" s="15"/>
      <c r="M145" s="15"/>
      <c r="N145" s="15"/>
      <c r="O145" s="15"/>
      <c r="P145" s="15"/>
      <c r="Q145" s="11"/>
      <c r="R145" s="11"/>
      <c r="S145" s="11"/>
      <c r="T145" s="11"/>
      <c r="U145" s="15"/>
      <c r="V145" s="11"/>
      <c r="W145" s="11"/>
      <c r="X145" s="11"/>
      <c r="Y145" s="11"/>
      <c r="Z145" s="11"/>
    </row>
    <row r="146">
      <c r="A146" s="18"/>
      <c r="B146" s="11"/>
      <c r="C146" s="11"/>
      <c r="D146" s="11"/>
      <c r="E146" s="11"/>
      <c r="F146" s="11"/>
      <c r="G146" s="11"/>
      <c r="H146" s="11"/>
      <c r="I146" s="11"/>
      <c r="J146" s="11"/>
      <c r="K146" s="11"/>
      <c r="L146" s="15"/>
      <c r="M146" s="15"/>
      <c r="N146" s="15"/>
      <c r="O146" s="15"/>
      <c r="P146" s="15"/>
      <c r="Q146" s="11"/>
      <c r="R146" s="11"/>
      <c r="S146" s="11"/>
      <c r="T146" s="11"/>
      <c r="U146" s="15"/>
      <c r="V146" s="11"/>
      <c r="W146" s="11"/>
      <c r="X146" s="11"/>
      <c r="Y146" s="11"/>
      <c r="Z146" s="11"/>
    </row>
    <row r="147">
      <c r="A147" s="18"/>
      <c r="B147" s="11"/>
      <c r="C147" s="11"/>
      <c r="D147" s="11"/>
      <c r="E147" s="11"/>
      <c r="F147" s="11"/>
      <c r="G147" s="11"/>
      <c r="H147" s="11"/>
      <c r="I147" s="11"/>
      <c r="J147" s="11"/>
      <c r="K147" s="11"/>
      <c r="L147" s="15"/>
      <c r="M147" s="15"/>
      <c r="N147" s="15"/>
      <c r="O147" s="15"/>
      <c r="P147" s="15"/>
      <c r="Q147" s="11"/>
      <c r="R147" s="11"/>
      <c r="S147" s="11"/>
      <c r="T147" s="11"/>
      <c r="U147" s="15"/>
      <c r="V147" s="11"/>
      <c r="W147" s="11"/>
      <c r="X147" s="11"/>
      <c r="Y147" s="11"/>
      <c r="Z147" s="11"/>
    </row>
    <row r="148">
      <c r="A148" s="18"/>
      <c r="B148" s="11"/>
      <c r="C148" s="11"/>
      <c r="D148" s="11"/>
      <c r="E148" s="11"/>
      <c r="F148" s="11"/>
      <c r="G148" s="11"/>
      <c r="H148" s="11"/>
      <c r="I148" s="11"/>
      <c r="J148" s="11"/>
      <c r="K148" s="11"/>
      <c r="L148" s="15"/>
      <c r="M148" s="15"/>
      <c r="N148" s="15"/>
      <c r="O148" s="15"/>
      <c r="P148" s="15"/>
      <c r="Q148" s="11"/>
      <c r="R148" s="11"/>
      <c r="S148" s="11"/>
      <c r="T148" s="11"/>
      <c r="U148" s="15"/>
      <c r="V148" s="11"/>
      <c r="W148" s="11"/>
      <c r="X148" s="11"/>
      <c r="Y148" s="11"/>
      <c r="Z148" s="11"/>
    </row>
    <row r="149">
      <c r="A149" s="18"/>
      <c r="B149" s="11"/>
      <c r="C149" s="11"/>
      <c r="D149" s="11"/>
      <c r="E149" s="11"/>
      <c r="F149" s="11"/>
      <c r="G149" s="11"/>
      <c r="H149" s="11"/>
      <c r="I149" s="11"/>
      <c r="J149" s="11"/>
      <c r="K149" s="11"/>
      <c r="L149" s="15"/>
      <c r="M149" s="15"/>
      <c r="N149" s="15"/>
      <c r="O149" s="15"/>
      <c r="P149" s="15"/>
      <c r="Q149" s="11"/>
      <c r="R149" s="11"/>
      <c r="S149" s="11"/>
      <c r="T149" s="11"/>
      <c r="U149" s="15"/>
      <c r="V149" s="11"/>
      <c r="W149" s="11"/>
      <c r="X149" s="11"/>
      <c r="Y149" s="11"/>
      <c r="Z149" s="11"/>
    </row>
    <row r="150">
      <c r="A150" s="18"/>
      <c r="B150" s="11"/>
      <c r="C150" s="11"/>
      <c r="D150" s="11"/>
      <c r="E150" s="11"/>
      <c r="F150" s="11"/>
      <c r="G150" s="11"/>
      <c r="H150" s="11"/>
      <c r="I150" s="11"/>
      <c r="J150" s="11"/>
      <c r="K150" s="11"/>
      <c r="L150" s="15"/>
      <c r="M150" s="15"/>
      <c r="N150" s="15"/>
      <c r="O150" s="15"/>
      <c r="P150" s="15"/>
      <c r="Q150" s="11"/>
      <c r="R150" s="11"/>
      <c r="S150" s="11"/>
      <c r="T150" s="11"/>
      <c r="U150" s="15"/>
      <c r="V150" s="11"/>
      <c r="W150" s="11"/>
      <c r="X150" s="11"/>
      <c r="Y150" s="11"/>
      <c r="Z150" s="11"/>
    </row>
    <row r="151">
      <c r="A151" s="18"/>
      <c r="B151" s="11"/>
      <c r="C151" s="11"/>
      <c r="D151" s="11"/>
      <c r="E151" s="11"/>
      <c r="F151" s="11"/>
      <c r="G151" s="11"/>
      <c r="H151" s="11"/>
      <c r="I151" s="11"/>
      <c r="J151" s="11"/>
      <c r="K151" s="11"/>
      <c r="L151" s="15"/>
      <c r="M151" s="15"/>
      <c r="N151" s="15"/>
      <c r="O151" s="15"/>
      <c r="P151" s="15"/>
      <c r="Q151" s="11"/>
      <c r="R151" s="11"/>
      <c r="S151" s="11"/>
      <c r="T151" s="11"/>
      <c r="U151" s="15"/>
      <c r="V151" s="11"/>
      <c r="W151" s="11"/>
      <c r="X151" s="11"/>
      <c r="Y151" s="11"/>
      <c r="Z151" s="11"/>
    </row>
    <row r="152">
      <c r="A152" s="18"/>
      <c r="B152" s="11"/>
      <c r="C152" s="11"/>
      <c r="D152" s="11"/>
      <c r="E152" s="11"/>
      <c r="F152" s="11"/>
      <c r="G152" s="11"/>
      <c r="H152" s="11"/>
      <c r="I152" s="11"/>
      <c r="J152" s="11"/>
      <c r="K152" s="11"/>
      <c r="L152" s="15"/>
      <c r="M152" s="15"/>
      <c r="N152" s="15"/>
      <c r="O152" s="15"/>
      <c r="P152" s="15"/>
      <c r="Q152" s="11"/>
      <c r="R152" s="11"/>
      <c r="S152" s="11"/>
      <c r="T152" s="11"/>
      <c r="U152" s="15"/>
      <c r="V152" s="11"/>
      <c r="W152" s="11"/>
      <c r="X152" s="11"/>
      <c r="Y152" s="11"/>
      <c r="Z152" s="11"/>
    </row>
    <row r="153">
      <c r="A153" s="18"/>
      <c r="B153" s="11"/>
      <c r="C153" s="11"/>
      <c r="D153" s="11"/>
      <c r="E153" s="11"/>
      <c r="F153" s="11"/>
      <c r="G153" s="11"/>
      <c r="H153" s="11"/>
      <c r="I153" s="11"/>
      <c r="J153" s="11"/>
      <c r="K153" s="11"/>
      <c r="L153" s="15"/>
      <c r="M153" s="15"/>
      <c r="N153" s="15"/>
      <c r="O153" s="15"/>
      <c r="P153" s="15"/>
      <c r="Q153" s="11"/>
      <c r="R153" s="11"/>
      <c r="S153" s="11"/>
      <c r="T153" s="11"/>
      <c r="U153" s="15"/>
      <c r="V153" s="11"/>
      <c r="W153" s="11"/>
      <c r="X153" s="11"/>
      <c r="Y153" s="11"/>
      <c r="Z153" s="11"/>
    </row>
    <row r="154">
      <c r="A154" s="18"/>
      <c r="B154" s="11"/>
      <c r="C154" s="11"/>
      <c r="D154" s="11"/>
      <c r="E154" s="11"/>
      <c r="F154" s="11"/>
      <c r="G154" s="11"/>
      <c r="H154" s="11"/>
      <c r="I154" s="11"/>
      <c r="J154" s="11"/>
      <c r="K154" s="11"/>
      <c r="L154" s="15"/>
      <c r="M154" s="15"/>
      <c r="N154" s="15"/>
      <c r="O154" s="15"/>
      <c r="P154" s="15"/>
      <c r="Q154" s="11"/>
      <c r="R154" s="11"/>
      <c r="S154" s="11"/>
      <c r="T154" s="11"/>
      <c r="U154" s="15"/>
      <c r="V154" s="11"/>
      <c r="W154" s="11"/>
      <c r="X154" s="11"/>
      <c r="Y154" s="11"/>
      <c r="Z154" s="11"/>
    </row>
    <row r="155">
      <c r="A155" s="18"/>
      <c r="B155" s="11"/>
      <c r="C155" s="11"/>
      <c r="D155" s="11"/>
      <c r="E155" s="11"/>
      <c r="F155" s="11"/>
      <c r="G155" s="11"/>
      <c r="H155" s="11"/>
      <c r="I155" s="11"/>
      <c r="J155" s="11"/>
      <c r="K155" s="11"/>
      <c r="L155" s="15"/>
      <c r="M155" s="15"/>
      <c r="N155" s="15"/>
      <c r="O155" s="15"/>
      <c r="P155" s="15"/>
      <c r="Q155" s="11"/>
      <c r="R155" s="11"/>
      <c r="S155" s="11"/>
      <c r="T155" s="11"/>
      <c r="U155" s="15"/>
      <c r="V155" s="11"/>
      <c r="W155" s="11"/>
      <c r="X155" s="11"/>
      <c r="Y155" s="11"/>
      <c r="Z155" s="11"/>
    </row>
    <row r="156">
      <c r="A156" s="18"/>
      <c r="B156" s="11"/>
      <c r="C156" s="11"/>
      <c r="D156" s="11"/>
      <c r="E156" s="11"/>
      <c r="F156" s="11"/>
      <c r="G156" s="11"/>
      <c r="H156" s="11"/>
      <c r="I156" s="11"/>
      <c r="J156" s="11"/>
      <c r="K156" s="11"/>
      <c r="L156" s="15"/>
      <c r="M156" s="15"/>
      <c r="N156" s="15"/>
      <c r="O156" s="15"/>
      <c r="P156" s="15"/>
      <c r="Q156" s="11"/>
      <c r="R156" s="11"/>
      <c r="S156" s="11"/>
      <c r="T156" s="11"/>
      <c r="U156" s="15"/>
      <c r="V156" s="11"/>
      <c r="W156" s="11"/>
      <c r="X156" s="11"/>
      <c r="Y156" s="11"/>
      <c r="Z156" s="11"/>
    </row>
    <row r="157">
      <c r="A157" s="18"/>
      <c r="B157" s="11"/>
      <c r="C157" s="11"/>
      <c r="D157" s="11"/>
      <c r="E157" s="11"/>
      <c r="F157" s="11"/>
      <c r="G157" s="11"/>
      <c r="H157" s="11"/>
      <c r="I157" s="11"/>
      <c r="J157" s="11"/>
      <c r="K157" s="11"/>
      <c r="L157" s="15"/>
      <c r="M157" s="15"/>
      <c r="N157" s="15"/>
      <c r="O157" s="15"/>
      <c r="P157" s="15"/>
      <c r="Q157" s="11"/>
      <c r="R157" s="11"/>
      <c r="S157" s="11"/>
      <c r="T157" s="11"/>
      <c r="U157" s="15"/>
      <c r="V157" s="11"/>
      <c r="W157" s="11"/>
      <c r="X157" s="11"/>
      <c r="Y157" s="11"/>
      <c r="Z157" s="11"/>
    </row>
    <row r="158">
      <c r="A158" s="18"/>
      <c r="B158" s="11"/>
      <c r="C158" s="11"/>
      <c r="D158" s="11"/>
      <c r="E158" s="11"/>
      <c r="F158" s="11"/>
      <c r="G158" s="11"/>
      <c r="H158" s="11"/>
      <c r="I158" s="11"/>
      <c r="J158" s="11"/>
      <c r="K158" s="11"/>
      <c r="L158" s="15"/>
      <c r="M158" s="15"/>
      <c r="N158" s="15"/>
      <c r="O158" s="15"/>
      <c r="P158" s="15"/>
      <c r="Q158" s="11"/>
      <c r="R158" s="11"/>
      <c r="S158" s="11"/>
      <c r="T158" s="11"/>
      <c r="U158" s="15"/>
      <c r="V158" s="11"/>
      <c r="W158" s="11"/>
      <c r="X158" s="11"/>
      <c r="Y158" s="11"/>
      <c r="Z158" s="11"/>
    </row>
    <row r="159">
      <c r="A159" s="18"/>
      <c r="B159" s="11"/>
      <c r="C159" s="11"/>
      <c r="D159" s="11"/>
      <c r="E159" s="11"/>
      <c r="F159" s="11"/>
      <c r="G159" s="11"/>
      <c r="H159" s="11"/>
      <c r="I159" s="11"/>
      <c r="J159" s="11"/>
      <c r="K159" s="11"/>
      <c r="L159" s="15"/>
      <c r="M159" s="15"/>
      <c r="N159" s="15"/>
      <c r="O159" s="15"/>
      <c r="P159" s="15"/>
      <c r="Q159" s="11"/>
      <c r="R159" s="11"/>
      <c r="S159" s="11"/>
      <c r="T159" s="11"/>
      <c r="U159" s="15"/>
      <c r="V159" s="11"/>
      <c r="W159" s="11"/>
      <c r="X159" s="11"/>
      <c r="Y159" s="11"/>
      <c r="Z159" s="11"/>
    </row>
    <row r="160">
      <c r="A160" s="18"/>
      <c r="B160" s="11"/>
      <c r="C160" s="11"/>
      <c r="D160" s="11"/>
      <c r="E160" s="11"/>
      <c r="F160" s="11"/>
      <c r="G160" s="11"/>
      <c r="H160" s="11"/>
      <c r="I160" s="11"/>
      <c r="J160" s="11"/>
      <c r="K160" s="11"/>
      <c r="L160" s="15"/>
      <c r="M160" s="15"/>
      <c r="N160" s="15"/>
      <c r="O160" s="15"/>
      <c r="P160" s="15"/>
      <c r="Q160" s="11"/>
      <c r="R160" s="11"/>
      <c r="S160" s="11"/>
      <c r="T160" s="11"/>
      <c r="U160" s="15"/>
      <c r="V160" s="11"/>
      <c r="W160" s="11"/>
      <c r="X160" s="11"/>
      <c r="Y160" s="11"/>
      <c r="Z160" s="11"/>
    </row>
    <row r="161">
      <c r="A161" s="18"/>
      <c r="B161" s="11"/>
      <c r="C161" s="11"/>
      <c r="D161" s="11"/>
      <c r="E161" s="11"/>
      <c r="F161" s="11"/>
      <c r="G161" s="11"/>
      <c r="H161" s="11"/>
      <c r="I161" s="11"/>
      <c r="J161" s="11"/>
      <c r="K161" s="11"/>
      <c r="L161" s="15"/>
      <c r="M161" s="15"/>
      <c r="N161" s="15"/>
      <c r="O161" s="15"/>
      <c r="P161" s="15"/>
      <c r="Q161" s="11"/>
      <c r="R161" s="11"/>
      <c r="S161" s="11"/>
      <c r="T161" s="11"/>
      <c r="U161" s="15"/>
      <c r="V161" s="11"/>
      <c r="W161" s="11"/>
      <c r="X161" s="11"/>
      <c r="Y161" s="11"/>
      <c r="Z161" s="11"/>
    </row>
    <row r="162">
      <c r="A162" s="18"/>
      <c r="B162" s="11"/>
      <c r="C162" s="11"/>
      <c r="D162" s="11"/>
      <c r="E162" s="11"/>
      <c r="F162" s="11"/>
      <c r="G162" s="11"/>
      <c r="H162" s="11"/>
      <c r="I162" s="11"/>
      <c r="J162" s="11"/>
      <c r="K162" s="11"/>
      <c r="L162" s="15"/>
      <c r="M162" s="15"/>
      <c r="N162" s="15"/>
      <c r="O162" s="15"/>
      <c r="P162" s="15"/>
      <c r="Q162" s="11"/>
      <c r="R162" s="11"/>
      <c r="S162" s="11"/>
      <c r="T162" s="11"/>
      <c r="U162" s="15"/>
      <c r="V162" s="11"/>
      <c r="W162" s="11"/>
      <c r="X162" s="11"/>
      <c r="Y162" s="11"/>
      <c r="Z162" s="11"/>
    </row>
    <row r="163">
      <c r="A163" s="18"/>
      <c r="B163" s="11"/>
      <c r="C163" s="11"/>
      <c r="D163" s="11"/>
      <c r="E163" s="11"/>
      <c r="F163" s="11"/>
      <c r="G163" s="11"/>
      <c r="H163" s="11"/>
      <c r="I163" s="11"/>
      <c r="J163" s="11"/>
      <c r="K163" s="11"/>
      <c r="L163" s="15"/>
      <c r="M163" s="15"/>
      <c r="N163" s="15"/>
      <c r="O163" s="15"/>
      <c r="P163" s="15"/>
      <c r="Q163" s="11"/>
      <c r="R163" s="11"/>
      <c r="S163" s="11"/>
      <c r="T163" s="11"/>
      <c r="U163" s="15"/>
      <c r="V163" s="11"/>
      <c r="W163" s="11"/>
      <c r="X163" s="11"/>
      <c r="Y163" s="11"/>
      <c r="Z163" s="11"/>
    </row>
    <row r="164">
      <c r="A164" s="18"/>
      <c r="B164" s="11"/>
      <c r="C164" s="11"/>
      <c r="D164" s="11"/>
      <c r="E164" s="11"/>
      <c r="F164" s="11"/>
      <c r="G164" s="11"/>
      <c r="H164" s="11"/>
      <c r="I164" s="11"/>
      <c r="J164" s="11"/>
      <c r="K164" s="11"/>
      <c r="L164" s="15"/>
      <c r="M164" s="15"/>
      <c r="N164" s="15"/>
      <c r="O164" s="15"/>
      <c r="P164" s="15"/>
      <c r="Q164" s="11"/>
      <c r="R164" s="11"/>
      <c r="S164" s="11"/>
      <c r="T164" s="11"/>
      <c r="U164" s="15"/>
      <c r="V164" s="11"/>
      <c r="W164" s="11"/>
      <c r="X164" s="11"/>
      <c r="Y164" s="11"/>
      <c r="Z164" s="11"/>
    </row>
    <row r="165">
      <c r="A165" s="18"/>
      <c r="B165" s="11"/>
      <c r="C165" s="11"/>
      <c r="D165" s="11"/>
      <c r="E165" s="11"/>
      <c r="F165" s="11"/>
      <c r="G165" s="11"/>
      <c r="H165" s="11"/>
      <c r="I165" s="11"/>
      <c r="J165" s="11"/>
      <c r="K165" s="11"/>
      <c r="L165" s="15"/>
      <c r="M165" s="15"/>
      <c r="N165" s="15"/>
      <c r="O165" s="15"/>
      <c r="P165" s="15"/>
      <c r="Q165" s="11"/>
      <c r="R165" s="11"/>
      <c r="S165" s="11"/>
      <c r="T165" s="11"/>
      <c r="U165" s="15"/>
      <c r="V165" s="11"/>
      <c r="W165" s="11"/>
      <c r="X165" s="11"/>
      <c r="Y165" s="11"/>
      <c r="Z165" s="11"/>
    </row>
    <row r="166">
      <c r="A166" s="18"/>
      <c r="B166" s="11"/>
      <c r="C166" s="11"/>
      <c r="D166" s="11"/>
      <c r="E166" s="11"/>
      <c r="F166" s="11"/>
      <c r="G166" s="11"/>
      <c r="H166" s="11"/>
      <c r="I166" s="11"/>
      <c r="J166" s="11"/>
      <c r="K166" s="11"/>
      <c r="L166" s="15"/>
      <c r="M166" s="15"/>
      <c r="N166" s="15"/>
      <c r="O166" s="15"/>
      <c r="P166" s="15"/>
      <c r="Q166" s="11"/>
      <c r="R166" s="11"/>
      <c r="S166" s="11"/>
      <c r="T166" s="11"/>
      <c r="U166" s="15"/>
      <c r="V166" s="11"/>
      <c r="W166" s="11"/>
      <c r="X166" s="11"/>
      <c r="Y166" s="11"/>
      <c r="Z166" s="11"/>
    </row>
    <row r="167">
      <c r="A167" s="18"/>
      <c r="B167" s="11"/>
      <c r="C167" s="11"/>
      <c r="D167" s="11"/>
      <c r="E167" s="11"/>
      <c r="F167" s="11"/>
      <c r="G167" s="11"/>
      <c r="H167" s="11"/>
      <c r="I167" s="11"/>
      <c r="J167" s="11"/>
      <c r="K167" s="11"/>
      <c r="L167" s="15"/>
      <c r="M167" s="15"/>
      <c r="N167" s="15"/>
      <c r="O167" s="15"/>
      <c r="P167" s="15"/>
      <c r="Q167" s="11"/>
      <c r="R167" s="11"/>
      <c r="S167" s="11"/>
      <c r="T167" s="11"/>
      <c r="U167" s="15"/>
      <c r="V167" s="11"/>
      <c r="W167" s="11"/>
      <c r="X167" s="11"/>
      <c r="Y167" s="11"/>
      <c r="Z167" s="11"/>
    </row>
    <row r="168">
      <c r="A168" s="18"/>
      <c r="B168" s="11"/>
      <c r="C168" s="11"/>
      <c r="D168" s="11"/>
      <c r="E168" s="11"/>
      <c r="F168" s="11"/>
      <c r="G168" s="11"/>
      <c r="H168" s="11"/>
      <c r="I168" s="11"/>
      <c r="J168" s="11"/>
      <c r="K168" s="11"/>
      <c r="L168" s="15"/>
      <c r="M168" s="15"/>
      <c r="N168" s="15"/>
      <c r="O168" s="15"/>
      <c r="P168" s="15"/>
      <c r="Q168" s="11"/>
      <c r="R168" s="11"/>
      <c r="S168" s="11"/>
      <c r="T168" s="11"/>
      <c r="U168" s="15"/>
      <c r="V168" s="11"/>
      <c r="W168" s="11"/>
      <c r="X168" s="11"/>
      <c r="Y168" s="11"/>
      <c r="Z168" s="11"/>
    </row>
    <row r="169">
      <c r="A169" s="18"/>
      <c r="B169" s="11"/>
      <c r="C169" s="11"/>
      <c r="D169" s="11"/>
      <c r="E169" s="11"/>
      <c r="F169" s="11"/>
      <c r="G169" s="11"/>
      <c r="H169" s="11"/>
      <c r="I169" s="11"/>
      <c r="J169" s="11"/>
      <c r="K169" s="11"/>
      <c r="L169" s="15"/>
      <c r="M169" s="15"/>
      <c r="N169" s="15"/>
      <c r="O169" s="15"/>
      <c r="P169" s="15"/>
      <c r="Q169" s="11"/>
      <c r="R169" s="11"/>
      <c r="S169" s="11"/>
      <c r="T169" s="11"/>
      <c r="U169" s="15"/>
      <c r="V169" s="11"/>
      <c r="W169" s="11"/>
      <c r="X169" s="11"/>
      <c r="Y169" s="11"/>
      <c r="Z169" s="11"/>
    </row>
    <row r="170">
      <c r="A170" s="18"/>
      <c r="B170" s="11"/>
      <c r="C170" s="11"/>
      <c r="D170" s="11"/>
      <c r="E170" s="11"/>
      <c r="F170" s="11"/>
      <c r="G170" s="11"/>
      <c r="H170" s="11"/>
      <c r="I170" s="11"/>
      <c r="J170" s="11"/>
      <c r="K170" s="11"/>
      <c r="L170" s="15"/>
      <c r="M170" s="15"/>
      <c r="N170" s="15"/>
      <c r="O170" s="15"/>
      <c r="P170" s="15"/>
      <c r="Q170" s="11"/>
      <c r="R170" s="11"/>
      <c r="S170" s="11"/>
      <c r="T170" s="11"/>
      <c r="U170" s="15"/>
      <c r="V170" s="11"/>
      <c r="W170" s="11"/>
      <c r="X170" s="11"/>
      <c r="Y170" s="11"/>
      <c r="Z170" s="11"/>
    </row>
    <row r="171">
      <c r="A171" s="18"/>
      <c r="B171" s="11"/>
      <c r="C171" s="11"/>
      <c r="D171" s="11"/>
      <c r="E171" s="11"/>
      <c r="F171" s="11"/>
      <c r="G171" s="11"/>
      <c r="H171" s="11"/>
      <c r="I171" s="11"/>
      <c r="J171" s="11"/>
      <c r="K171" s="11"/>
      <c r="L171" s="15"/>
      <c r="M171" s="15"/>
      <c r="N171" s="15"/>
      <c r="O171" s="15"/>
      <c r="P171" s="15"/>
      <c r="Q171" s="11"/>
      <c r="R171" s="11"/>
      <c r="S171" s="11"/>
      <c r="T171" s="11"/>
      <c r="U171" s="15"/>
      <c r="V171" s="11"/>
      <c r="W171" s="11"/>
      <c r="X171" s="11"/>
      <c r="Y171" s="11"/>
      <c r="Z171" s="11"/>
    </row>
    <row r="172">
      <c r="A172" s="18"/>
      <c r="B172" s="11"/>
      <c r="C172" s="11"/>
      <c r="D172" s="11"/>
      <c r="E172" s="11"/>
      <c r="F172" s="11"/>
      <c r="G172" s="11"/>
      <c r="H172" s="11"/>
      <c r="I172" s="11"/>
      <c r="J172" s="11"/>
      <c r="K172" s="11"/>
      <c r="L172" s="15"/>
      <c r="M172" s="15"/>
      <c r="N172" s="15"/>
      <c r="O172" s="15"/>
      <c r="P172" s="15"/>
      <c r="Q172" s="11"/>
      <c r="R172" s="11"/>
      <c r="S172" s="11"/>
      <c r="T172" s="11"/>
      <c r="U172" s="15"/>
      <c r="V172" s="11"/>
      <c r="W172" s="11"/>
      <c r="X172" s="11"/>
      <c r="Y172" s="11"/>
      <c r="Z172" s="11"/>
    </row>
    <row r="173">
      <c r="A173" s="18"/>
      <c r="B173" s="11"/>
      <c r="C173" s="11"/>
      <c r="D173" s="11"/>
      <c r="E173" s="11"/>
      <c r="F173" s="11"/>
      <c r="G173" s="11"/>
      <c r="H173" s="11"/>
      <c r="I173" s="11"/>
      <c r="J173" s="11"/>
      <c r="K173" s="11"/>
      <c r="L173" s="15"/>
      <c r="M173" s="15"/>
      <c r="N173" s="15"/>
      <c r="O173" s="15"/>
      <c r="P173" s="15"/>
      <c r="Q173" s="11"/>
      <c r="R173" s="11"/>
      <c r="S173" s="11"/>
      <c r="T173" s="11"/>
      <c r="U173" s="15"/>
      <c r="V173" s="11"/>
      <c r="W173" s="11"/>
      <c r="X173" s="11"/>
      <c r="Y173" s="11"/>
      <c r="Z173" s="11"/>
    </row>
    <row r="174">
      <c r="A174" s="18"/>
      <c r="B174" s="11"/>
      <c r="C174" s="11"/>
      <c r="D174" s="11"/>
      <c r="E174" s="11"/>
      <c r="F174" s="11"/>
      <c r="G174" s="11"/>
      <c r="H174" s="11"/>
      <c r="I174" s="11"/>
      <c r="J174" s="11"/>
      <c r="K174" s="11"/>
      <c r="L174" s="15"/>
      <c r="M174" s="15"/>
      <c r="N174" s="15"/>
      <c r="O174" s="15"/>
      <c r="P174" s="15"/>
      <c r="Q174" s="11"/>
      <c r="R174" s="11"/>
      <c r="S174" s="11"/>
      <c r="T174" s="11"/>
      <c r="U174" s="15"/>
      <c r="V174" s="11"/>
      <c r="W174" s="11"/>
      <c r="X174" s="11"/>
      <c r="Y174" s="11"/>
      <c r="Z174" s="11"/>
    </row>
    <row r="175">
      <c r="A175" s="18"/>
      <c r="B175" s="11"/>
      <c r="C175" s="11"/>
      <c r="D175" s="11"/>
      <c r="E175" s="11"/>
      <c r="F175" s="11"/>
      <c r="G175" s="11"/>
      <c r="H175" s="11"/>
      <c r="I175" s="11"/>
      <c r="J175" s="11"/>
      <c r="K175" s="11"/>
      <c r="L175" s="15"/>
      <c r="M175" s="15"/>
      <c r="N175" s="15"/>
      <c r="O175" s="15"/>
      <c r="P175" s="15"/>
      <c r="Q175" s="11"/>
      <c r="R175" s="11"/>
      <c r="S175" s="11"/>
      <c r="T175" s="11"/>
      <c r="U175" s="15"/>
      <c r="V175" s="11"/>
      <c r="W175" s="11"/>
      <c r="X175" s="11"/>
      <c r="Y175" s="11"/>
      <c r="Z175" s="11"/>
    </row>
    <row r="176">
      <c r="A176" s="18"/>
      <c r="B176" s="11"/>
      <c r="C176" s="11"/>
      <c r="D176" s="11"/>
      <c r="E176" s="11"/>
      <c r="F176" s="11"/>
      <c r="G176" s="11"/>
      <c r="H176" s="11"/>
      <c r="I176" s="11"/>
      <c r="J176" s="11"/>
      <c r="K176" s="11"/>
      <c r="L176" s="15"/>
      <c r="M176" s="15"/>
      <c r="N176" s="15"/>
      <c r="O176" s="15"/>
      <c r="P176" s="15"/>
      <c r="Q176" s="11"/>
      <c r="R176" s="11"/>
      <c r="S176" s="11"/>
      <c r="T176" s="11"/>
      <c r="U176" s="15"/>
      <c r="V176" s="11"/>
      <c r="W176" s="11"/>
      <c r="X176" s="11"/>
      <c r="Y176" s="11"/>
      <c r="Z176" s="11"/>
    </row>
    <row r="177">
      <c r="A177" s="18"/>
      <c r="B177" s="11"/>
      <c r="C177" s="11"/>
      <c r="D177" s="11"/>
      <c r="E177" s="11"/>
      <c r="F177" s="11"/>
      <c r="G177" s="11"/>
      <c r="H177" s="11"/>
      <c r="I177" s="11"/>
      <c r="J177" s="11"/>
      <c r="K177" s="11"/>
      <c r="L177" s="15"/>
      <c r="M177" s="15"/>
      <c r="N177" s="15"/>
      <c r="O177" s="15"/>
      <c r="P177" s="15"/>
      <c r="Q177" s="11"/>
      <c r="R177" s="11"/>
      <c r="S177" s="11"/>
      <c r="T177" s="11"/>
      <c r="U177" s="15"/>
      <c r="V177" s="11"/>
      <c r="W177" s="11"/>
      <c r="X177" s="11"/>
      <c r="Y177" s="11"/>
      <c r="Z177" s="11"/>
    </row>
    <row r="178">
      <c r="A178" s="18"/>
      <c r="B178" s="11"/>
      <c r="C178" s="11"/>
      <c r="D178" s="11"/>
      <c r="E178" s="11"/>
      <c r="F178" s="11"/>
      <c r="G178" s="11"/>
      <c r="H178" s="11"/>
      <c r="I178" s="11"/>
      <c r="J178" s="11"/>
      <c r="K178" s="11"/>
      <c r="L178" s="15"/>
      <c r="M178" s="15"/>
      <c r="N178" s="15"/>
      <c r="O178" s="15"/>
      <c r="P178" s="15"/>
      <c r="Q178" s="11"/>
      <c r="R178" s="11"/>
      <c r="S178" s="11"/>
      <c r="T178" s="11"/>
      <c r="U178" s="15"/>
      <c r="V178" s="11"/>
      <c r="W178" s="11"/>
      <c r="X178" s="11"/>
      <c r="Y178" s="11"/>
      <c r="Z178" s="11"/>
    </row>
    <row r="179">
      <c r="A179" s="18"/>
      <c r="B179" s="11"/>
      <c r="C179" s="11"/>
      <c r="D179" s="11"/>
      <c r="E179" s="11"/>
      <c r="F179" s="11"/>
      <c r="G179" s="11"/>
      <c r="H179" s="11"/>
      <c r="I179" s="11"/>
      <c r="J179" s="11"/>
      <c r="K179" s="11"/>
      <c r="L179" s="15"/>
      <c r="M179" s="15"/>
      <c r="N179" s="15"/>
      <c r="O179" s="15"/>
      <c r="P179" s="15"/>
      <c r="Q179" s="11"/>
      <c r="R179" s="11"/>
      <c r="S179" s="11"/>
      <c r="T179" s="11"/>
      <c r="U179" s="15"/>
      <c r="V179" s="11"/>
      <c r="W179" s="11"/>
      <c r="X179" s="11"/>
      <c r="Y179" s="11"/>
      <c r="Z179" s="11"/>
    </row>
    <row r="180">
      <c r="A180" s="18"/>
      <c r="B180" s="11"/>
      <c r="C180" s="11"/>
      <c r="D180" s="11"/>
      <c r="E180" s="11"/>
      <c r="F180" s="11"/>
      <c r="G180" s="11"/>
      <c r="H180" s="11"/>
      <c r="I180" s="11"/>
      <c r="J180" s="11"/>
      <c r="K180" s="11"/>
      <c r="L180" s="15"/>
      <c r="M180" s="15"/>
      <c r="N180" s="15"/>
      <c r="O180" s="15"/>
      <c r="P180" s="15"/>
      <c r="Q180" s="11"/>
      <c r="R180" s="11"/>
      <c r="S180" s="11"/>
      <c r="T180" s="11"/>
      <c r="U180" s="15"/>
      <c r="V180" s="11"/>
      <c r="W180" s="11"/>
      <c r="X180" s="11"/>
      <c r="Y180" s="11"/>
      <c r="Z180" s="11"/>
    </row>
    <row r="181">
      <c r="A181" s="18"/>
      <c r="B181" s="11"/>
      <c r="C181" s="11"/>
      <c r="D181" s="11"/>
      <c r="E181" s="11"/>
      <c r="F181" s="11"/>
      <c r="G181" s="11"/>
      <c r="H181" s="11"/>
      <c r="I181" s="11"/>
      <c r="J181" s="11"/>
      <c r="K181" s="11"/>
      <c r="L181" s="15"/>
      <c r="M181" s="15"/>
      <c r="N181" s="15"/>
      <c r="O181" s="15"/>
      <c r="P181" s="15"/>
      <c r="Q181" s="11"/>
      <c r="R181" s="11"/>
      <c r="S181" s="11"/>
      <c r="T181" s="11"/>
      <c r="U181" s="15"/>
      <c r="V181" s="11"/>
      <c r="W181" s="11"/>
      <c r="X181" s="11"/>
      <c r="Y181" s="11"/>
      <c r="Z181" s="11"/>
    </row>
    <row r="182">
      <c r="A182" s="18"/>
      <c r="B182" s="11"/>
      <c r="C182" s="11"/>
      <c r="D182" s="11"/>
      <c r="E182" s="11"/>
      <c r="F182" s="11"/>
      <c r="G182" s="11"/>
      <c r="H182" s="11"/>
      <c r="I182" s="11"/>
      <c r="J182" s="11"/>
      <c r="K182" s="11"/>
      <c r="L182" s="15"/>
      <c r="M182" s="15"/>
      <c r="N182" s="15"/>
      <c r="O182" s="15"/>
      <c r="P182" s="15"/>
      <c r="Q182" s="11"/>
      <c r="R182" s="11"/>
      <c r="S182" s="11"/>
      <c r="T182" s="11"/>
      <c r="U182" s="15"/>
      <c r="V182" s="11"/>
      <c r="W182" s="11"/>
      <c r="X182" s="11"/>
      <c r="Y182" s="11"/>
      <c r="Z182" s="11"/>
    </row>
    <row r="183">
      <c r="A183" s="18"/>
      <c r="B183" s="11"/>
      <c r="C183" s="11"/>
      <c r="D183" s="11"/>
      <c r="E183" s="11"/>
      <c r="F183" s="11"/>
      <c r="G183" s="11"/>
      <c r="H183" s="11"/>
      <c r="I183" s="11"/>
      <c r="J183" s="11"/>
      <c r="K183" s="11"/>
      <c r="L183" s="15"/>
      <c r="M183" s="15"/>
      <c r="N183" s="15"/>
      <c r="O183" s="15"/>
      <c r="P183" s="15"/>
      <c r="Q183" s="11"/>
      <c r="R183" s="11"/>
      <c r="S183" s="11"/>
      <c r="T183" s="11"/>
      <c r="U183" s="15"/>
      <c r="V183" s="11"/>
      <c r="W183" s="11"/>
      <c r="X183" s="11"/>
      <c r="Y183" s="11"/>
      <c r="Z183" s="11"/>
    </row>
    <row r="184">
      <c r="A184" s="18"/>
      <c r="B184" s="11"/>
      <c r="C184" s="11"/>
      <c r="D184" s="11"/>
      <c r="E184" s="11"/>
      <c r="F184" s="11"/>
      <c r="G184" s="11"/>
      <c r="H184" s="11"/>
      <c r="I184" s="11"/>
      <c r="J184" s="11"/>
      <c r="K184" s="11"/>
      <c r="L184" s="15"/>
      <c r="M184" s="15"/>
      <c r="N184" s="15"/>
      <c r="O184" s="15"/>
      <c r="P184" s="15"/>
      <c r="Q184" s="11"/>
      <c r="R184" s="11"/>
      <c r="S184" s="11"/>
      <c r="T184" s="11"/>
      <c r="U184" s="15"/>
      <c r="V184" s="11"/>
      <c r="W184" s="11"/>
      <c r="X184" s="11"/>
      <c r="Y184" s="11"/>
      <c r="Z184" s="11"/>
    </row>
    <row r="185">
      <c r="A185" s="18"/>
      <c r="B185" s="11"/>
      <c r="C185" s="11"/>
      <c r="D185" s="11"/>
      <c r="E185" s="11"/>
      <c r="F185" s="11"/>
      <c r="G185" s="11"/>
      <c r="H185" s="11"/>
      <c r="I185" s="11"/>
      <c r="J185" s="11"/>
      <c r="K185" s="11"/>
      <c r="L185" s="15"/>
      <c r="M185" s="15"/>
      <c r="N185" s="15"/>
      <c r="O185" s="15"/>
      <c r="P185" s="15"/>
      <c r="Q185" s="11"/>
      <c r="R185" s="11"/>
      <c r="S185" s="11"/>
      <c r="T185" s="11"/>
      <c r="U185" s="15"/>
      <c r="V185" s="11"/>
      <c r="W185" s="11"/>
      <c r="X185" s="11"/>
      <c r="Y185" s="11"/>
      <c r="Z185" s="11"/>
    </row>
    <row r="186">
      <c r="A186" s="18"/>
      <c r="B186" s="11"/>
      <c r="C186" s="11"/>
      <c r="D186" s="11"/>
      <c r="E186" s="11"/>
      <c r="F186" s="11"/>
      <c r="G186" s="11"/>
      <c r="H186" s="11"/>
      <c r="I186" s="11"/>
      <c r="J186" s="11"/>
      <c r="K186" s="11"/>
      <c r="L186" s="15"/>
      <c r="M186" s="15"/>
      <c r="N186" s="15"/>
      <c r="O186" s="15"/>
      <c r="P186" s="15"/>
      <c r="Q186" s="11"/>
      <c r="R186" s="11"/>
      <c r="S186" s="11"/>
      <c r="T186" s="11"/>
      <c r="U186" s="15"/>
      <c r="V186" s="11"/>
      <c r="W186" s="11"/>
      <c r="X186" s="11"/>
      <c r="Y186" s="11"/>
      <c r="Z186" s="11"/>
    </row>
    <row r="187">
      <c r="A187" s="18"/>
      <c r="B187" s="11"/>
      <c r="C187" s="11"/>
      <c r="D187" s="11"/>
      <c r="E187" s="11"/>
      <c r="F187" s="11"/>
      <c r="G187" s="11"/>
      <c r="H187" s="11"/>
      <c r="I187" s="11"/>
      <c r="J187" s="11"/>
      <c r="K187" s="11"/>
      <c r="L187" s="15"/>
      <c r="M187" s="15"/>
      <c r="N187" s="15"/>
      <c r="O187" s="15"/>
      <c r="P187" s="15"/>
      <c r="Q187" s="11"/>
      <c r="R187" s="11"/>
      <c r="S187" s="11"/>
      <c r="T187" s="11"/>
      <c r="U187" s="15"/>
      <c r="V187" s="11"/>
      <c r="W187" s="11"/>
      <c r="X187" s="11"/>
      <c r="Y187" s="11"/>
      <c r="Z187" s="11"/>
    </row>
    <row r="188">
      <c r="A188" s="18"/>
      <c r="B188" s="11"/>
      <c r="C188" s="11"/>
      <c r="D188" s="11"/>
      <c r="E188" s="11"/>
      <c r="F188" s="11"/>
      <c r="G188" s="11"/>
      <c r="H188" s="11"/>
      <c r="I188" s="11"/>
      <c r="J188" s="11"/>
      <c r="K188" s="11"/>
      <c r="L188" s="15"/>
      <c r="M188" s="15"/>
      <c r="N188" s="15"/>
      <c r="O188" s="15"/>
      <c r="P188" s="15"/>
      <c r="Q188" s="11"/>
      <c r="R188" s="11"/>
      <c r="S188" s="11"/>
      <c r="T188" s="11"/>
      <c r="U188" s="15"/>
      <c r="V188" s="11"/>
      <c r="W188" s="11"/>
      <c r="X188" s="11"/>
      <c r="Y188" s="11"/>
      <c r="Z188" s="11"/>
    </row>
    <row r="189">
      <c r="A189" s="18"/>
      <c r="B189" s="11"/>
      <c r="C189" s="11"/>
      <c r="D189" s="11"/>
      <c r="E189" s="11"/>
      <c r="F189" s="11"/>
      <c r="G189" s="11"/>
      <c r="H189" s="11"/>
      <c r="I189" s="11"/>
      <c r="J189" s="11"/>
      <c r="K189" s="11"/>
      <c r="L189" s="15"/>
      <c r="M189" s="15"/>
      <c r="N189" s="15"/>
      <c r="O189" s="15"/>
      <c r="P189" s="15"/>
      <c r="Q189" s="11"/>
      <c r="R189" s="11"/>
      <c r="S189" s="11"/>
      <c r="T189" s="11"/>
      <c r="U189" s="15"/>
      <c r="V189" s="11"/>
      <c r="W189" s="11"/>
      <c r="X189" s="11"/>
      <c r="Y189" s="11"/>
      <c r="Z189" s="11"/>
    </row>
    <row r="190">
      <c r="A190" s="18"/>
      <c r="B190" s="11"/>
      <c r="C190" s="11"/>
      <c r="D190" s="11"/>
      <c r="E190" s="11"/>
      <c r="F190" s="11"/>
      <c r="G190" s="11"/>
      <c r="H190" s="11"/>
      <c r="I190" s="11"/>
      <c r="J190" s="11"/>
      <c r="K190" s="11"/>
      <c r="L190" s="15"/>
      <c r="M190" s="15"/>
      <c r="N190" s="15"/>
      <c r="O190" s="15"/>
      <c r="P190" s="15"/>
      <c r="Q190" s="11"/>
      <c r="R190" s="11"/>
      <c r="S190" s="11"/>
      <c r="T190" s="11"/>
      <c r="U190" s="15"/>
      <c r="V190" s="11"/>
      <c r="W190" s="11"/>
      <c r="X190" s="11"/>
      <c r="Y190" s="11"/>
      <c r="Z190" s="11"/>
    </row>
    <row r="191">
      <c r="A191" s="18"/>
      <c r="B191" s="11"/>
      <c r="C191" s="11"/>
      <c r="D191" s="11"/>
      <c r="E191" s="11"/>
      <c r="F191" s="11"/>
      <c r="G191" s="11"/>
      <c r="H191" s="11"/>
      <c r="I191" s="11"/>
      <c r="J191" s="11"/>
      <c r="K191" s="11"/>
      <c r="L191" s="15"/>
      <c r="M191" s="15"/>
      <c r="N191" s="15"/>
      <c r="O191" s="15"/>
      <c r="P191" s="15"/>
      <c r="Q191" s="11"/>
      <c r="R191" s="11"/>
      <c r="S191" s="11"/>
      <c r="T191" s="11"/>
      <c r="U191" s="15"/>
      <c r="V191" s="11"/>
      <c r="W191" s="11"/>
      <c r="X191" s="11"/>
      <c r="Y191" s="11"/>
      <c r="Z191" s="11"/>
    </row>
    <row r="192">
      <c r="A192" s="18"/>
      <c r="B192" s="11"/>
      <c r="C192" s="11"/>
      <c r="D192" s="11"/>
      <c r="E192" s="11"/>
      <c r="F192" s="11"/>
      <c r="G192" s="11"/>
      <c r="H192" s="11"/>
      <c r="I192" s="11"/>
      <c r="J192" s="11"/>
      <c r="K192" s="11"/>
      <c r="L192" s="15"/>
      <c r="M192" s="15"/>
      <c r="N192" s="15"/>
      <c r="O192" s="15"/>
      <c r="P192" s="15"/>
      <c r="Q192" s="11"/>
      <c r="R192" s="11"/>
      <c r="S192" s="11"/>
      <c r="T192" s="11"/>
      <c r="U192" s="15"/>
      <c r="V192" s="11"/>
      <c r="W192" s="11"/>
      <c r="X192" s="11"/>
      <c r="Y192" s="11"/>
      <c r="Z192" s="11"/>
    </row>
    <row r="193">
      <c r="A193" s="18"/>
      <c r="B193" s="11"/>
      <c r="C193" s="11"/>
      <c r="D193" s="11"/>
      <c r="E193" s="11"/>
      <c r="F193" s="11"/>
      <c r="G193" s="11"/>
      <c r="H193" s="11"/>
      <c r="I193" s="11"/>
      <c r="J193" s="11"/>
      <c r="K193" s="11"/>
      <c r="L193" s="15"/>
      <c r="M193" s="15"/>
      <c r="N193" s="15"/>
      <c r="O193" s="15"/>
      <c r="P193" s="15"/>
      <c r="Q193" s="11"/>
      <c r="R193" s="11"/>
      <c r="S193" s="11"/>
      <c r="T193" s="11"/>
      <c r="U193" s="15"/>
      <c r="V193" s="11"/>
      <c r="W193" s="11"/>
      <c r="X193" s="11"/>
      <c r="Y193" s="11"/>
      <c r="Z193" s="11"/>
    </row>
    <row r="194">
      <c r="A194" s="18"/>
      <c r="B194" s="11"/>
      <c r="C194" s="11"/>
      <c r="D194" s="11"/>
      <c r="E194" s="11"/>
      <c r="F194" s="11"/>
      <c r="G194" s="11"/>
      <c r="H194" s="11"/>
      <c r="I194" s="11"/>
      <c r="J194" s="11"/>
      <c r="K194" s="11"/>
      <c r="L194" s="15"/>
      <c r="M194" s="15"/>
      <c r="N194" s="15"/>
      <c r="O194" s="15"/>
      <c r="P194" s="15"/>
      <c r="Q194" s="11"/>
      <c r="R194" s="11"/>
      <c r="S194" s="11"/>
      <c r="T194" s="11"/>
      <c r="U194" s="15"/>
      <c r="V194" s="11"/>
      <c r="W194" s="11"/>
      <c r="X194" s="11"/>
      <c r="Y194" s="11"/>
      <c r="Z194" s="11"/>
    </row>
    <row r="195">
      <c r="A195" s="18"/>
      <c r="B195" s="11"/>
      <c r="C195" s="11"/>
      <c r="D195" s="11"/>
      <c r="E195" s="11"/>
      <c r="F195" s="11"/>
      <c r="G195" s="11"/>
      <c r="H195" s="11"/>
      <c r="I195" s="11"/>
      <c r="J195" s="11"/>
      <c r="K195" s="11"/>
      <c r="L195" s="15"/>
      <c r="M195" s="15"/>
      <c r="N195" s="15"/>
      <c r="O195" s="15"/>
      <c r="P195" s="15"/>
      <c r="Q195" s="11"/>
      <c r="R195" s="11"/>
      <c r="S195" s="11"/>
      <c r="T195" s="11"/>
      <c r="U195" s="15"/>
      <c r="V195" s="11"/>
      <c r="W195" s="11"/>
      <c r="X195" s="11"/>
      <c r="Y195" s="11"/>
      <c r="Z195" s="11"/>
    </row>
    <row r="196">
      <c r="A196" s="18"/>
      <c r="B196" s="11"/>
      <c r="C196" s="11"/>
      <c r="D196" s="11"/>
      <c r="E196" s="11"/>
      <c r="F196" s="11"/>
      <c r="G196" s="11"/>
      <c r="H196" s="11"/>
      <c r="I196" s="11"/>
      <c r="J196" s="11"/>
      <c r="K196" s="11"/>
      <c r="L196" s="15"/>
      <c r="M196" s="15"/>
      <c r="N196" s="15"/>
      <c r="O196" s="15"/>
      <c r="P196" s="15"/>
      <c r="Q196" s="11"/>
      <c r="R196" s="11"/>
      <c r="S196" s="11"/>
      <c r="T196" s="11"/>
      <c r="U196" s="15"/>
      <c r="V196" s="11"/>
      <c r="W196" s="11"/>
      <c r="X196" s="11"/>
      <c r="Y196" s="11"/>
      <c r="Z196" s="11"/>
    </row>
    <row r="197">
      <c r="A197" s="18"/>
      <c r="B197" s="11"/>
      <c r="C197" s="11"/>
      <c r="D197" s="11"/>
      <c r="E197" s="11"/>
      <c r="F197" s="11"/>
      <c r="G197" s="11"/>
      <c r="H197" s="11"/>
      <c r="I197" s="11"/>
      <c r="J197" s="11"/>
      <c r="K197" s="11"/>
      <c r="L197" s="15"/>
      <c r="M197" s="15"/>
      <c r="N197" s="15"/>
      <c r="O197" s="15"/>
      <c r="P197" s="15"/>
      <c r="Q197" s="11"/>
      <c r="R197" s="11"/>
      <c r="S197" s="11"/>
      <c r="T197" s="11"/>
      <c r="U197" s="15"/>
      <c r="V197" s="11"/>
      <c r="W197" s="11"/>
      <c r="X197" s="11"/>
      <c r="Y197" s="11"/>
      <c r="Z197" s="11"/>
    </row>
    <row r="198">
      <c r="A198" s="18"/>
      <c r="B198" s="11"/>
      <c r="C198" s="11"/>
      <c r="D198" s="11"/>
      <c r="E198" s="11"/>
      <c r="F198" s="11"/>
      <c r="G198" s="11"/>
      <c r="H198" s="11"/>
      <c r="I198" s="11"/>
      <c r="J198" s="11"/>
      <c r="K198" s="11"/>
      <c r="L198" s="15"/>
      <c r="M198" s="15"/>
      <c r="N198" s="15"/>
      <c r="O198" s="15"/>
      <c r="P198" s="15"/>
      <c r="Q198" s="11"/>
      <c r="R198" s="11"/>
      <c r="S198" s="11"/>
      <c r="T198" s="11"/>
      <c r="U198" s="15"/>
      <c r="V198" s="11"/>
      <c r="W198" s="11"/>
      <c r="X198" s="11"/>
      <c r="Y198" s="11"/>
      <c r="Z198" s="11"/>
    </row>
    <row r="199">
      <c r="A199" s="18"/>
      <c r="B199" s="11"/>
      <c r="C199" s="11"/>
      <c r="D199" s="11"/>
      <c r="E199" s="11"/>
      <c r="F199" s="11"/>
      <c r="G199" s="11"/>
      <c r="H199" s="11"/>
      <c r="I199" s="11"/>
      <c r="J199" s="11"/>
      <c r="K199" s="11"/>
      <c r="L199" s="15"/>
      <c r="M199" s="15"/>
      <c r="N199" s="15"/>
      <c r="O199" s="15"/>
      <c r="P199" s="15"/>
      <c r="Q199" s="11"/>
      <c r="R199" s="11"/>
      <c r="S199" s="11"/>
      <c r="T199" s="11"/>
      <c r="U199" s="15"/>
      <c r="V199" s="11"/>
      <c r="W199" s="11"/>
      <c r="X199" s="11"/>
      <c r="Y199" s="11"/>
      <c r="Z199" s="11"/>
    </row>
    <row r="200">
      <c r="A200" s="18"/>
      <c r="B200" s="11"/>
      <c r="C200" s="11"/>
      <c r="D200" s="11"/>
      <c r="E200" s="11"/>
      <c r="F200" s="11"/>
      <c r="G200" s="11"/>
      <c r="H200" s="11"/>
      <c r="I200" s="11"/>
      <c r="J200" s="11"/>
      <c r="K200" s="11"/>
      <c r="L200" s="15"/>
      <c r="M200" s="15"/>
      <c r="N200" s="15"/>
      <c r="O200" s="15"/>
      <c r="P200" s="15"/>
      <c r="Q200" s="11"/>
      <c r="R200" s="11"/>
      <c r="S200" s="11"/>
      <c r="T200" s="11"/>
      <c r="U200" s="15"/>
      <c r="V200" s="11"/>
      <c r="W200" s="11"/>
      <c r="X200" s="11"/>
      <c r="Y200" s="11"/>
      <c r="Z200" s="11"/>
    </row>
    <row r="201">
      <c r="A201" s="18"/>
      <c r="B201" s="11"/>
      <c r="C201" s="11"/>
      <c r="D201" s="11"/>
      <c r="E201" s="11"/>
      <c r="F201" s="11"/>
      <c r="G201" s="11"/>
      <c r="H201" s="11"/>
      <c r="I201" s="11"/>
      <c r="J201" s="11"/>
      <c r="K201" s="11"/>
      <c r="L201" s="15"/>
      <c r="M201" s="15"/>
      <c r="N201" s="15"/>
      <c r="O201" s="15"/>
      <c r="P201" s="15"/>
      <c r="Q201" s="11"/>
      <c r="R201" s="11"/>
      <c r="S201" s="11"/>
      <c r="T201" s="11"/>
      <c r="U201" s="15"/>
      <c r="V201" s="11"/>
      <c r="W201" s="11"/>
      <c r="X201" s="11"/>
      <c r="Y201" s="11"/>
      <c r="Z201" s="11"/>
    </row>
    <row r="202">
      <c r="A202" s="18"/>
      <c r="B202" s="11"/>
      <c r="C202" s="11"/>
      <c r="D202" s="11"/>
      <c r="E202" s="11"/>
      <c r="F202" s="11"/>
      <c r="G202" s="11"/>
      <c r="H202" s="11"/>
      <c r="I202" s="11"/>
      <c r="J202" s="11"/>
      <c r="K202" s="11"/>
      <c r="L202" s="15"/>
      <c r="M202" s="15"/>
      <c r="N202" s="15"/>
      <c r="O202" s="15"/>
      <c r="P202" s="15"/>
      <c r="Q202" s="11"/>
      <c r="R202" s="11"/>
      <c r="S202" s="11"/>
      <c r="T202" s="11"/>
      <c r="U202" s="15"/>
      <c r="V202" s="11"/>
      <c r="W202" s="11"/>
      <c r="X202" s="11"/>
      <c r="Y202" s="11"/>
      <c r="Z202" s="11"/>
    </row>
    <row r="203">
      <c r="A203" s="18"/>
      <c r="B203" s="11"/>
      <c r="C203" s="11"/>
      <c r="D203" s="11"/>
      <c r="E203" s="11"/>
      <c r="F203" s="11"/>
      <c r="G203" s="11"/>
      <c r="H203" s="11"/>
      <c r="I203" s="11"/>
      <c r="J203" s="11"/>
      <c r="K203" s="11"/>
      <c r="L203" s="15"/>
      <c r="M203" s="15"/>
      <c r="N203" s="15"/>
      <c r="O203" s="15"/>
      <c r="P203" s="15"/>
      <c r="Q203" s="11"/>
      <c r="R203" s="11"/>
      <c r="S203" s="11"/>
      <c r="T203" s="11"/>
      <c r="U203" s="15"/>
      <c r="V203" s="11"/>
      <c r="W203" s="11"/>
      <c r="X203" s="11"/>
      <c r="Y203" s="11"/>
      <c r="Z203" s="11"/>
    </row>
    <row r="204">
      <c r="A204" s="18"/>
      <c r="B204" s="11"/>
      <c r="C204" s="11"/>
      <c r="D204" s="11"/>
      <c r="E204" s="11"/>
      <c r="F204" s="11"/>
      <c r="G204" s="11"/>
      <c r="H204" s="11"/>
      <c r="I204" s="11"/>
      <c r="J204" s="11"/>
      <c r="K204" s="11"/>
      <c r="L204" s="15"/>
      <c r="M204" s="15"/>
      <c r="N204" s="15"/>
      <c r="O204" s="15"/>
      <c r="P204" s="15"/>
      <c r="Q204" s="11"/>
      <c r="R204" s="11"/>
      <c r="S204" s="11"/>
      <c r="T204" s="11"/>
      <c r="U204" s="15"/>
      <c r="V204" s="11"/>
      <c r="W204" s="11"/>
      <c r="X204" s="11"/>
      <c r="Y204" s="11"/>
      <c r="Z204" s="11"/>
    </row>
    <row r="205">
      <c r="A205" s="18"/>
      <c r="B205" s="11"/>
      <c r="C205" s="11"/>
      <c r="D205" s="11"/>
      <c r="E205" s="11"/>
      <c r="F205" s="11"/>
      <c r="G205" s="11"/>
      <c r="H205" s="11"/>
      <c r="I205" s="11"/>
      <c r="J205" s="11"/>
      <c r="K205" s="11"/>
      <c r="L205" s="15"/>
      <c r="M205" s="15"/>
      <c r="N205" s="15"/>
      <c r="O205" s="15"/>
      <c r="P205" s="15"/>
      <c r="Q205" s="11"/>
      <c r="R205" s="11"/>
      <c r="S205" s="11"/>
      <c r="T205" s="11"/>
      <c r="U205" s="15"/>
      <c r="V205" s="11"/>
      <c r="W205" s="11"/>
      <c r="X205" s="11"/>
      <c r="Y205" s="11"/>
      <c r="Z205" s="11"/>
    </row>
    <row r="206">
      <c r="A206" s="18"/>
      <c r="B206" s="11"/>
      <c r="C206" s="11"/>
      <c r="D206" s="11"/>
      <c r="E206" s="11"/>
      <c r="F206" s="11"/>
      <c r="G206" s="11"/>
      <c r="H206" s="11"/>
      <c r="I206" s="11"/>
      <c r="J206" s="11"/>
      <c r="K206" s="11"/>
      <c r="L206" s="15"/>
      <c r="M206" s="15"/>
      <c r="N206" s="15"/>
      <c r="O206" s="15"/>
      <c r="P206" s="15"/>
      <c r="Q206" s="11"/>
      <c r="R206" s="11"/>
      <c r="S206" s="11"/>
      <c r="T206" s="11"/>
      <c r="U206" s="15"/>
      <c r="V206" s="11"/>
      <c r="W206" s="11"/>
      <c r="X206" s="11"/>
      <c r="Y206" s="11"/>
      <c r="Z206" s="11"/>
    </row>
    <row r="207">
      <c r="A207" s="18"/>
      <c r="B207" s="11"/>
      <c r="C207" s="11"/>
      <c r="D207" s="11"/>
      <c r="E207" s="11"/>
      <c r="F207" s="11"/>
      <c r="G207" s="11"/>
      <c r="H207" s="11"/>
      <c r="I207" s="11"/>
      <c r="J207" s="11"/>
      <c r="K207" s="11"/>
      <c r="L207" s="15"/>
      <c r="M207" s="15"/>
      <c r="N207" s="15"/>
      <c r="O207" s="15"/>
      <c r="P207" s="15"/>
      <c r="Q207" s="11"/>
      <c r="R207" s="11"/>
      <c r="S207" s="11"/>
      <c r="T207" s="11"/>
      <c r="U207" s="15"/>
      <c r="V207" s="11"/>
      <c r="W207" s="11"/>
      <c r="X207" s="11"/>
      <c r="Y207" s="11"/>
      <c r="Z207" s="11"/>
    </row>
    <row r="208">
      <c r="A208" s="18"/>
      <c r="B208" s="11"/>
      <c r="C208" s="11"/>
      <c r="D208" s="11"/>
      <c r="E208" s="11"/>
      <c r="F208" s="11"/>
      <c r="G208" s="11"/>
      <c r="H208" s="11"/>
      <c r="I208" s="11"/>
      <c r="J208" s="11"/>
      <c r="K208" s="11"/>
      <c r="L208" s="15"/>
      <c r="M208" s="15"/>
      <c r="N208" s="15"/>
      <c r="O208" s="15"/>
      <c r="P208" s="15"/>
      <c r="Q208" s="11"/>
      <c r="R208" s="11"/>
      <c r="S208" s="11"/>
      <c r="T208" s="11"/>
      <c r="U208" s="15"/>
      <c r="V208" s="11"/>
      <c r="W208" s="11"/>
      <c r="X208" s="11"/>
      <c r="Y208" s="11"/>
      <c r="Z208" s="11"/>
    </row>
    <row r="209">
      <c r="A209" s="18"/>
      <c r="B209" s="11"/>
      <c r="C209" s="11"/>
      <c r="D209" s="11"/>
      <c r="E209" s="11"/>
      <c r="F209" s="11"/>
      <c r="G209" s="11"/>
      <c r="H209" s="11"/>
      <c r="I209" s="11"/>
      <c r="J209" s="11"/>
      <c r="K209" s="11"/>
      <c r="L209" s="15"/>
      <c r="M209" s="15"/>
      <c r="N209" s="15"/>
      <c r="O209" s="15"/>
      <c r="P209" s="15"/>
      <c r="Q209" s="11"/>
      <c r="R209" s="11"/>
      <c r="S209" s="11"/>
      <c r="T209" s="11"/>
      <c r="U209" s="15"/>
      <c r="V209" s="11"/>
      <c r="W209" s="11"/>
      <c r="X209" s="11"/>
      <c r="Y209" s="11"/>
      <c r="Z209" s="11"/>
    </row>
    <row r="210">
      <c r="A210" s="18"/>
      <c r="B210" s="11"/>
      <c r="C210" s="11"/>
      <c r="D210" s="11"/>
      <c r="E210" s="11"/>
      <c r="F210" s="11"/>
      <c r="G210" s="11"/>
      <c r="H210" s="11"/>
      <c r="I210" s="11"/>
      <c r="J210" s="11"/>
      <c r="K210" s="11"/>
      <c r="L210" s="15"/>
      <c r="M210" s="15"/>
      <c r="N210" s="15"/>
      <c r="O210" s="15"/>
      <c r="P210" s="15"/>
      <c r="Q210" s="11"/>
      <c r="R210" s="11"/>
      <c r="S210" s="11"/>
      <c r="T210" s="11"/>
      <c r="U210" s="15"/>
      <c r="V210" s="11"/>
      <c r="W210" s="11"/>
      <c r="X210" s="11"/>
      <c r="Y210" s="11"/>
      <c r="Z210" s="11"/>
    </row>
    <row r="211">
      <c r="A211" s="18"/>
      <c r="B211" s="11"/>
      <c r="C211" s="11"/>
      <c r="D211" s="11"/>
      <c r="E211" s="11"/>
      <c r="F211" s="11"/>
      <c r="G211" s="11"/>
      <c r="H211" s="11"/>
      <c r="I211" s="11"/>
      <c r="J211" s="11"/>
      <c r="K211" s="11"/>
      <c r="L211" s="15"/>
      <c r="M211" s="15"/>
      <c r="N211" s="15"/>
      <c r="O211" s="15"/>
      <c r="P211" s="15"/>
      <c r="Q211" s="11"/>
      <c r="R211" s="11"/>
      <c r="S211" s="11"/>
      <c r="T211" s="11"/>
      <c r="U211" s="15"/>
      <c r="V211" s="11"/>
      <c r="W211" s="11"/>
      <c r="X211" s="11"/>
      <c r="Y211" s="11"/>
      <c r="Z211" s="11"/>
    </row>
    <row r="212">
      <c r="A212" s="18"/>
      <c r="B212" s="11"/>
      <c r="C212" s="11"/>
      <c r="D212" s="11"/>
      <c r="E212" s="11"/>
      <c r="F212" s="11"/>
      <c r="G212" s="11"/>
      <c r="H212" s="11"/>
      <c r="I212" s="11"/>
      <c r="J212" s="11"/>
      <c r="K212" s="11"/>
      <c r="L212" s="15"/>
      <c r="M212" s="15"/>
      <c r="N212" s="15"/>
      <c r="O212" s="15"/>
      <c r="P212" s="15"/>
      <c r="Q212" s="11"/>
      <c r="R212" s="11"/>
      <c r="S212" s="11"/>
      <c r="T212" s="11"/>
      <c r="U212" s="15"/>
      <c r="V212" s="11"/>
      <c r="W212" s="11"/>
      <c r="X212" s="11"/>
      <c r="Y212" s="11"/>
      <c r="Z212" s="11"/>
    </row>
    <row r="213">
      <c r="A213" s="18"/>
      <c r="B213" s="11"/>
      <c r="C213" s="11"/>
      <c r="D213" s="11"/>
      <c r="E213" s="11"/>
      <c r="F213" s="11"/>
      <c r="G213" s="11"/>
      <c r="H213" s="11"/>
      <c r="I213" s="11"/>
      <c r="J213" s="11"/>
      <c r="K213" s="11"/>
      <c r="L213" s="15"/>
      <c r="M213" s="15"/>
      <c r="N213" s="15"/>
      <c r="O213" s="15"/>
      <c r="P213" s="15"/>
      <c r="Q213" s="11"/>
      <c r="R213" s="11"/>
      <c r="S213" s="11"/>
      <c r="T213" s="11"/>
      <c r="U213" s="15"/>
      <c r="V213" s="11"/>
      <c r="W213" s="11"/>
      <c r="X213" s="11"/>
      <c r="Y213" s="11"/>
      <c r="Z213" s="11"/>
    </row>
    <row r="214">
      <c r="A214" s="18"/>
      <c r="B214" s="11"/>
      <c r="C214" s="11"/>
      <c r="D214" s="11"/>
      <c r="E214" s="11"/>
      <c r="F214" s="11"/>
      <c r="G214" s="11"/>
      <c r="H214" s="11"/>
      <c r="I214" s="11"/>
      <c r="J214" s="11"/>
      <c r="K214" s="11"/>
      <c r="L214" s="15"/>
      <c r="M214" s="15"/>
      <c r="N214" s="15"/>
      <c r="O214" s="15"/>
      <c r="P214" s="15"/>
      <c r="Q214" s="11"/>
      <c r="R214" s="11"/>
      <c r="S214" s="11"/>
      <c r="T214" s="11"/>
      <c r="U214" s="15"/>
      <c r="V214" s="11"/>
      <c r="W214" s="11"/>
      <c r="X214" s="11"/>
      <c r="Y214" s="11"/>
      <c r="Z214" s="11"/>
    </row>
    <row r="215">
      <c r="A215" s="18"/>
      <c r="B215" s="11"/>
      <c r="C215" s="11"/>
      <c r="D215" s="11"/>
      <c r="E215" s="11"/>
      <c r="F215" s="11"/>
      <c r="G215" s="11"/>
      <c r="H215" s="11"/>
      <c r="I215" s="11"/>
      <c r="J215" s="11"/>
      <c r="K215" s="11"/>
      <c r="L215" s="15"/>
      <c r="M215" s="15"/>
      <c r="N215" s="15"/>
      <c r="O215" s="15"/>
      <c r="P215" s="15"/>
      <c r="Q215" s="11"/>
      <c r="R215" s="11"/>
      <c r="S215" s="11"/>
      <c r="T215" s="11"/>
      <c r="U215" s="15"/>
      <c r="V215" s="11"/>
      <c r="W215" s="11"/>
      <c r="X215" s="11"/>
      <c r="Y215" s="11"/>
      <c r="Z215" s="11"/>
    </row>
    <row r="216">
      <c r="A216" s="18"/>
      <c r="B216" s="11"/>
      <c r="C216" s="11"/>
      <c r="D216" s="11"/>
      <c r="E216" s="11"/>
      <c r="F216" s="11"/>
      <c r="G216" s="11"/>
      <c r="H216" s="11"/>
      <c r="I216" s="11"/>
      <c r="J216" s="11"/>
      <c r="K216" s="11"/>
      <c r="L216" s="15"/>
      <c r="M216" s="15"/>
      <c r="N216" s="15"/>
      <c r="O216" s="15"/>
      <c r="P216" s="15"/>
      <c r="Q216" s="11"/>
      <c r="R216" s="11"/>
      <c r="S216" s="11"/>
      <c r="T216" s="11"/>
      <c r="U216" s="15"/>
      <c r="V216" s="11"/>
      <c r="W216" s="11"/>
      <c r="X216" s="11"/>
      <c r="Y216" s="11"/>
      <c r="Z216" s="11"/>
    </row>
    <row r="217">
      <c r="A217" s="18"/>
      <c r="B217" s="11"/>
      <c r="C217" s="11"/>
      <c r="D217" s="11"/>
      <c r="E217" s="11"/>
      <c r="F217" s="11"/>
      <c r="G217" s="11"/>
      <c r="H217" s="11"/>
      <c r="I217" s="11"/>
      <c r="J217" s="11"/>
      <c r="K217" s="11"/>
      <c r="L217" s="15"/>
      <c r="M217" s="15"/>
      <c r="N217" s="15"/>
      <c r="O217" s="15"/>
      <c r="P217" s="15"/>
      <c r="Q217" s="11"/>
      <c r="R217" s="11"/>
      <c r="S217" s="11"/>
      <c r="T217" s="11"/>
      <c r="U217" s="15"/>
      <c r="V217" s="11"/>
      <c r="W217" s="11"/>
      <c r="X217" s="11"/>
      <c r="Y217" s="11"/>
      <c r="Z217" s="11"/>
    </row>
    <row r="218">
      <c r="A218" s="18"/>
      <c r="B218" s="11"/>
      <c r="C218" s="11"/>
      <c r="D218" s="11"/>
      <c r="E218" s="11"/>
      <c r="F218" s="11"/>
      <c r="G218" s="11"/>
      <c r="H218" s="11"/>
      <c r="I218" s="11"/>
      <c r="J218" s="11"/>
      <c r="K218" s="11"/>
      <c r="L218" s="15"/>
      <c r="M218" s="15"/>
      <c r="N218" s="15"/>
      <c r="O218" s="15"/>
      <c r="P218" s="15"/>
      <c r="Q218" s="11"/>
      <c r="R218" s="11"/>
      <c r="S218" s="11"/>
      <c r="T218" s="11"/>
      <c r="U218" s="15"/>
      <c r="V218" s="11"/>
      <c r="W218" s="11"/>
      <c r="X218" s="11"/>
      <c r="Y218" s="11"/>
      <c r="Z218" s="11"/>
    </row>
    <row r="219">
      <c r="A219" s="18"/>
      <c r="B219" s="11"/>
      <c r="C219" s="11"/>
      <c r="D219" s="11"/>
      <c r="E219" s="11"/>
      <c r="F219" s="11"/>
      <c r="G219" s="11"/>
      <c r="H219" s="11"/>
      <c r="I219" s="11"/>
      <c r="J219" s="11"/>
      <c r="K219" s="11"/>
      <c r="L219" s="15"/>
      <c r="M219" s="15"/>
      <c r="N219" s="15"/>
      <c r="O219" s="15"/>
      <c r="P219" s="15"/>
      <c r="Q219" s="11"/>
      <c r="R219" s="11"/>
      <c r="S219" s="11"/>
      <c r="T219" s="11"/>
      <c r="U219" s="15"/>
      <c r="V219" s="11"/>
      <c r="W219" s="11"/>
      <c r="X219" s="11"/>
      <c r="Y219" s="11"/>
      <c r="Z219" s="11"/>
    </row>
    <row r="220">
      <c r="A220" s="18"/>
      <c r="B220" s="11"/>
      <c r="C220" s="11"/>
      <c r="D220" s="11"/>
      <c r="E220" s="11"/>
      <c r="F220" s="11"/>
      <c r="G220" s="11"/>
      <c r="H220" s="11"/>
      <c r="I220" s="11"/>
      <c r="J220" s="11"/>
      <c r="K220" s="11"/>
      <c r="L220" s="15"/>
      <c r="M220" s="15"/>
      <c r="N220" s="15"/>
      <c r="O220" s="15"/>
      <c r="P220" s="15"/>
      <c r="Q220" s="11"/>
      <c r="R220" s="11"/>
      <c r="S220" s="11"/>
      <c r="T220" s="11"/>
      <c r="U220" s="15"/>
      <c r="V220" s="11"/>
      <c r="W220" s="11"/>
      <c r="X220" s="11"/>
      <c r="Y220" s="11"/>
      <c r="Z220" s="11"/>
    </row>
    <row r="221">
      <c r="A221" s="18"/>
      <c r="B221" s="11"/>
      <c r="C221" s="11"/>
      <c r="D221" s="11"/>
      <c r="E221" s="11"/>
      <c r="F221" s="11"/>
      <c r="G221" s="11"/>
      <c r="H221" s="11"/>
      <c r="I221" s="11"/>
      <c r="J221" s="11"/>
      <c r="K221" s="11"/>
      <c r="L221" s="15"/>
      <c r="M221" s="15"/>
      <c r="N221" s="15"/>
      <c r="O221" s="15"/>
      <c r="P221" s="15"/>
      <c r="Q221" s="11"/>
      <c r="R221" s="11"/>
      <c r="S221" s="11"/>
      <c r="T221" s="11"/>
      <c r="U221" s="15"/>
      <c r="V221" s="11"/>
      <c r="W221" s="11"/>
      <c r="X221" s="11"/>
      <c r="Y221" s="11"/>
      <c r="Z221" s="11"/>
    </row>
    <row r="222">
      <c r="A222" s="18"/>
      <c r="B222" s="11"/>
      <c r="C222" s="11"/>
      <c r="D222" s="11"/>
      <c r="E222" s="11"/>
      <c r="F222" s="11"/>
      <c r="G222" s="11"/>
      <c r="H222" s="11"/>
      <c r="I222" s="11"/>
      <c r="J222" s="11"/>
      <c r="K222" s="11"/>
      <c r="L222" s="15"/>
      <c r="M222" s="15"/>
      <c r="N222" s="15"/>
      <c r="O222" s="15"/>
      <c r="P222" s="15"/>
      <c r="Q222" s="11"/>
      <c r="R222" s="11"/>
      <c r="S222" s="11"/>
      <c r="T222" s="11"/>
      <c r="U222" s="15"/>
      <c r="V222" s="11"/>
      <c r="W222" s="11"/>
      <c r="X222" s="11"/>
      <c r="Y222" s="11"/>
      <c r="Z222" s="11"/>
    </row>
    <row r="223">
      <c r="A223" s="18"/>
      <c r="B223" s="11"/>
      <c r="C223" s="11"/>
      <c r="D223" s="11"/>
      <c r="E223" s="11"/>
      <c r="F223" s="11"/>
      <c r="G223" s="11"/>
      <c r="H223" s="11"/>
      <c r="I223" s="11"/>
      <c r="J223" s="11"/>
      <c r="K223" s="11"/>
      <c r="L223" s="15"/>
      <c r="M223" s="15"/>
      <c r="N223" s="15"/>
      <c r="O223" s="15"/>
      <c r="P223" s="15"/>
      <c r="Q223" s="11"/>
      <c r="R223" s="11"/>
      <c r="S223" s="11"/>
      <c r="T223" s="11"/>
      <c r="U223" s="15"/>
      <c r="V223" s="11"/>
      <c r="W223" s="11"/>
      <c r="X223" s="11"/>
      <c r="Y223" s="11"/>
      <c r="Z223" s="11"/>
    </row>
    <row r="224">
      <c r="A224" s="18"/>
      <c r="B224" s="11"/>
      <c r="C224" s="11"/>
      <c r="D224" s="11"/>
      <c r="E224" s="11"/>
      <c r="F224" s="11"/>
      <c r="G224" s="11"/>
      <c r="H224" s="11"/>
      <c r="I224" s="11"/>
      <c r="J224" s="11"/>
      <c r="K224" s="11"/>
      <c r="L224" s="15"/>
      <c r="M224" s="15"/>
      <c r="N224" s="15"/>
      <c r="O224" s="15"/>
      <c r="P224" s="15"/>
      <c r="Q224" s="11"/>
      <c r="R224" s="11"/>
      <c r="S224" s="11"/>
      <c r="T224" s="11"/>
      <c r="U224" s="15"/>
      <c r="V224" s="11"/>
      <c r="W224" s="11"/>
      <c r="X224" s="11"/>
      <c r="Y224" s="11"/>
      <c r="Z224" s="11"/>
    </row>
    <row r="225">
      <c r="A225" s="18"/>
      <c r="B225" s="11"/>
      <c r="C225" s="11"/>
      <c r="D225" s="11"/>
      <c r="E225" s="11"/>
      <c r="F225" s="11"/>
      <c r="G225" s="11"/>
      <c r="H225" s="11"/>
      <c r="I225" s="11"/>
      <c r="J225" s="11"/>
      <c r="K225" s="11"/>
      <c r="L225" s="15"/>
      <c r="M225" s="15"/>
      <c r="N225" s="15"/>
      <c r="O225" s="15"/>
      <c r="P225" s="15"/>
      <c r="Q225" s="11"/>
      <c r="R225" s="11"/>
      <c r="S225" s="11"/>
      <c r="T225" s="11"/>
      <c r="U225" s="15"/>
      <c r="V225" s="11"/>
      <c r="W225" s="11"/>
      <c r="X225" s="11"/>
      <c r="Y225" s="11"/>
      <c r="Z225" s="11"/>
    </row>
    <row r="226">
      <c r="A226" s="18"/>
      <c r="B226" s="11"/>
      <c r="C226" s="11"/>
      <c r="D226" s="11"/>
      <c r="E226" s="11"/>
      <c r="F226" s="11"/>
      <c r="G226" s="11"/>
      <c r="H226" s="11"/>
      <c r="I226" s="11"/>
      <c r="J226" s="11"/>
      <c r="K226" s="11"/>
      <c r="L226" s="15"/>
      <c r="M226" s="15"/>
      <c r="N226" s="15"/>
      <c r="O226" s="15"/>
      <c r="P226" s="15"/>
      <c r="Q226" s="11"/>
      <c r="R226" s="11"/>
      <c r="S226" s="11"/>
      <c r="T226" s="11"/>
      <c r="U226" s="15"/>
      <c r="V226" s="11"/>
      <c r="W226" s="11"/>
      <c r="X226" s="11"/>
      <c r="Y226" s="11"/>
      <c r="Z226" s="11"/>
    </row>
    <row r="227">
      <c r="A227" s="18"/>
      <c r="B227" s="11"/>
      <c r="C227" s="11"/>
      <c r="D227" s="11"/>
      <c r="E227" s="11"/>
      <c r="F227" s="11"/>
      <c r="G227" s="11"/>
      <c r="H227" s="11"/>
      <c r="I227" s="11"/>
      <c r="J227" s="11"/>
      <c r="K227" s="11"/>
      <c r="L227" s="15"/>
      <c r="M227" s="15"/>
      <c r="N227" s="15"/>
      <c r="O227" s="15"/>
      <c r="P227" s="15"/>
      <c r="Q227" s="11"/>
      <c r="R227" s="11"/>
      <c r="S227" s="11"/>
      <c r="T227" s="11"/>
      <c r="U227" s="15"/>
      <c r="V227" s="11"/>
      <c r="W227" s="11"/>
      <c r="X227" s="11"/>
      <c r="Y227" s="11"/>
      <c r="Z227" s="11"/>
    </row>
    <row r="228">
      <c r="A228" s="18"/>
      <c r="B228" s="11"/>
      <c r="C228" s="11"/>
      <c r="D228" s="11"/>
      <c r="E228" s="11"/>
      <c r="F228" s="11"/>
      <c r="G228" s="11"/>
      <c r="H228" s="11"/>
      <c r="I228" s="11"/>
      <c r="J228" s="11"/>
      <c r="K228" s="11"/>
      <c r="L228" s="15"/>
      <c r="M228" s="15"/>
      <c r="N228" s="15"/>
      <c r="O228" s="15"/>
      <c r="P228" s="15"/>
      <c r="Q228" s="11"/>
      <c r="R228" s="11"/>
      <c r="S228" s="11"/>
      <c r="T228" s="11"/>
      <c r="U228" s="15"/>
      <c r="V228" s="11"/>
      <c r="W228" s="11"/>
      <c r="X228" s="11"/>
      <c r="Y228" s="11"/>
      <c r="Z228" s="11"/>
    </row>
    <row r="229">
      <c r="A229" s="18"/>
      <c r="B229" s="11"/>
      <c r="C229" s="11"/>
      <c r="D229" s="11"/>
      <c r="E229" s="11"/>
      <c r="F229" s="11"/>
      <c r="G229" s="11"/>
      <c r="H229" s="11"/>
      <c r="I229" s="11"/>
      <c r="J229" s="11"/>
      <c r="K229" s="11"/>
      <c r="L229" s="15"/>
      <c r="M229" s="15"/>
      <c r="N229" s="15"/>
      <c r="O229" s="15"/>
      <c r="P229" s="15"/>
      <c r="Q229" s="11"/>
      <c r="R229" s="11"/>
      <c r="S229" s="11"/>
      <c r="T229" s="11"/>
      <c r="U229" s="15"/>
      <c r="V229" s="11"/>
      <c r="W229" s="11"/>
      <c r="X229" s="11"/>
      <c r="Y229" s="11"/>
      <c r="Z229" s="11"/>
    </row>
    <row r="230">
      <c r="A230" s="18"/>
      <c r="B230" s="11"/>
      <c r="C230" s="11"/>
      <c r="D230" s="11"/>
      <c r="E230" s="11"/>
      <c r="F230" s="11"/>
      <c r="G230" s="11"/>
      <c r="H230" s="11"/>
      <c r="I230" s="11"/>
      <c r="J230" s="11"/>
      <c r="K230" s="11"/>
      <c r="L230" s="15"/>
      <c r="M230" s="15"/>
      <c r="N230" s="15"/>
      <c r="O230" s="15"/>
      <c r="P230" s="15"/>
      <c r="Q230" s="11"/>
      <c r="R230" s="11"/>
      <c r="S230" s="11"/>
      <c r="T230" s="11"/>
      <c r="U230" s="15"/>
      <c r="V230" s="11"/>
      <c r="W230" s="11"/>
      <c r="X230" s="11"/>
      <c r="Y230" s="11"/>
      <c r="Z230" s="11"/>
    </row>
    <row r="231">
      <c r="A231" s="18"/>
      <c r="B231" s="11"/>
      <c r="C231" s="11"/>
      <c r="D231" s="11"/>
      <c r="E231" s="11"/>
      <c r="F231" s="11"/>
      <c r="G231" s="11"/>
      <c r="H231" s="11"/>
      <c r="I231" s="11"/>
      <c r="J231" s="11"/>
      <c r="K231" s="11"/>
      <c r="L231" s="15"/>
      <c r="M231" s="15"/>
      <c r="N231" s="15"/>
      <c r="O231" s="15"/>
      <c r="P231" s="15"/>
      <c r="Q231" s="11"/>
      <c r="R231" s="11"/>
      <c r="S231" s="11"/>
      <c r="T231" s="11"/>
      <c r="U231" s="15"/>
      <c r="V231" s="11"/>
      <c r="W231" s="11"/>
      <c r="X231" s="11"/>
      <c r="Y231" s="11"/>
      <c r="Z231" s="11"/>
    </row>
    <row r="232">
      <c r="A232" s="18"/>
      <c r="B232" s="11"/>
      <c r="C232" s="11"/>
      <c r="D232" s="11"/>
      <c r="E232" s="11"/>
      <c r="F232" s="11"/>
      <c r="G232" s="11"/>
      <c r="H232" s="11"/>
      <c r="I232" s="11"/>
      <c r="J232" s="11"/>
      <c r="K232" s="11"/>
      <c r="L232" s="15"/>
      <c r="M232" s="15"/>
      <c r="N232" s="15"/>
      <c r="O232" s="15"/>
      <c r="P232" s="15"/>
      <c r="Q232" s="11"/>
      <c r="R232" s="11"/>
      <c r="S232" s="11"/>
      <c r="T232" s="11"/>
      <c r="U232" s="15"/>
      <c r="V232" s="11"/>
      <c r="W232" s="11"/>
      <c r="X232" s="11"/>
      <c r="Y232" s="11"/>
      <c r="Z232" s="11"/>
    </row>
    <row r="233">
      <c r="A233" s="18"/>
      <c r="B233" s="11"/>
      <c r="C233" s="11"/>
      <c r="D233" s="11"/>
      <c r="E233" s="11"/>
      <c r="F233" s="11"/>
      <c r="G233" s="11"/>
      <c r="H233" s="11"/>
      <c r="I233" s="11"/>
      <c r="J233" s="11"/>
      <c r="K233" s="11"/>
      <c r="L233" s="15"/>
      <c r="M233" s="15"/>
      <c r="N233" s="15"/>
      <c r="O233" s="15"/>
      <c r="P233" s="15"/>
      <c r="Q233" s="11"/>
      <c r="R233" s="11"/>
      <c r="S233" s="11"/>
      <c r="T233" s="11"/>
      <c r="U233" s="15"/>
      <c r="V233" s="11"/>
      <c r="W233" s="11"/>
      <c r="X233" s="11"/>
      <c r="Y233" s="11"/>
      <c r="Z233" s="11"/>
    </row>
    <row r="234">
      <c r="A234" s="18"/>
      <c r="B234" s="11"/>
      <c r="C234" s="11"/>
      <c r="D234" s="11"/>
      <c r="E234" s="11"/>
      <c r="F234" s="11"/>
      <c r="G234" s="11"/>
      <c r="H234" s="11"/>
      <c r="I234" s="11"/>
      <c r="J234" s="11"/>
      <c r="K234" s="11"/>
      <c r="L234" s="15"/>
      <c r="M234" s="15"/>
      <c r="N234" s="15"/>
      <c r="O234" s="15"/>
      <c r="P234" s="15"/>
      <c r="Q234" s="11"/>
      <c r="R234" s="11"/>
      <c r="S234" s="11"/>
      <c r="T234" s="11"/>
      <c r="U234" s="15"/>
      <c r="V234" s="11"/>
      <c r="W234" s="11"/>
      <c r="X234" s="11"/>
      <c r="Y234" s="11"/>
      <c r="Z234" s="11"/>
    </row>
    <row r="235">
      <c r="A235" s="18"/>
      <c r="B235" s="11"/>
      <c r="C235" s="11"/>
      <c r="D235" s="11"/>
      <c r="E235" s="11"/>
      <c r="F235" s="11"/>
      <c r="G235" s="11"/>
      <c r="H235" s="11"/>
      <c r="I235" s="11"/>
      <c r="J235" s="11"/>
      <c r="K235" s="11"/>
      <c r="L235" s="15"/>
      <c r="M235" s="15"/>
      <c r="N235" s="15"/>
      <c r="O235" s="15"/>
      <c r="P235" s="15"/>
      <c r="Q235" s="11"/>
      <c r="R235" s="11"/>
      <c r="S235" s="11"/>
      <c r="T235" s="11"/>
      <c r="U235" s="15"/>
      <c r="V235" s="11"/>
      <c r="W235" s="11"/>
      <c r="X235" s="11"/>
      <c r="Y235" s="11"/>
      <c r="Z235" s="11"/>
    </row>
    <row r="236">
      <c r="A236" s="18"/>
      <c r="B236" s="11"/>
      <c r="C236" s="11"/>
      <c r="D236" s="11"/>
      <c r="E236" s="11"/>
      <c r="F236" s="11"/>
      <c r="G236" s="11"/>
      <c r="H236" s="11"/>
      <c r="I236" s="11"/>
      <c r="J236" s="11"/>
      <c r="K236" s="11"/>
      <c r="L236" s="15"/>
      <c r="M236" s="15"/>
      <c r="N236" s="15"/>
      <c r="O236" s="15"/>
      <c r="P236" s="15"/>
      <c r="Q236" s="11"/>
      <c r="R236" s="11"/>
      <c r="S236" s="11"/>
      <c r="T236" s="11"/>
      <c r="U236" s="15"/>
      <c r="V236" s="11"/>
      <c r="W236" s="11"/>
      <c r="X236" s="11"/>
      <c r="Y236" s="11"/>
      <c r="Z236" s="11"/>
    </row>
    <row r="237">
      <c r="A237" s="18"/>
      <c r="B237" s="11"/>
      <c r="C237" s="11"/>
      <c r="D237" s="11"/>
      <c r="E237" s="11"/>
      <c r="F237" s="11"/>
      <c r="G237" s="11"/>
      <c r="H237" s="11"/>
      <c r="I237" s="11"/>
      <c r="J237" s="11"/>
      <c r="K237" s="11"/>
      <c r="L237" s="15"/>
      <c r="M237" s="15"/>
      <c r="N237" s="15"/>
      <c r="O237" s="15"/>
      <c r="P237" s="15"/>
      <c r="Q237" s="11"/>
      <c r="R237" s="11"/>
      <c r="S237" s="11"/>
      <c r="T237" s="11"/>
      <c r="U237" s="15"/>
      <c r="V237" s="11"/>
      <c r="W237" s="11"/>
      <c r="X237" s="11"/>
      <c r="Y237" s="11"/>
      <c r="Z237" s="11"/>
    </row>
    <row r="238">
      <c r="A238" s="18"/>
      <c r="B238" s="11"/>
      <c r="C238" s="11"/>
      <c r="D238" s="11"/>
      <c r="E238" s="11"/>
      <c r="F238" s="11"/>
      <c r="G238" s="11"/>
      <c r="H238" s="11"/>
      <c r="I238" s="11"/>
      <c r="J238" s="11"/>
      <c r="K238" s="11"/>
      <c r="L238" s="15"/>
      <c r="M238" s="15"/>
      <c r="N238" s="15"/>
      <c r="O238" s="15"/>
      <c r="P238" s="15"/>
      <c r="Q238" s="11"/>
      <c r="R238" s="11"/>
      <c r="S238" s="11"/>
      <c r="T238" s="11"/>
      <c r="U238" s="15"/>
      <c r="V238" s="11"/>
      <c r="W238" s="11"/>
      <c r="X238" s="11"/>
      <c r="Y238" s="11"/>
      <c r="Z238" s="11"/>
    </row>
    <row r="239">
      <c r="A239" s="18"/>
      <c r="B239" s="11"/>
      <c r="C239" s="11"/>
      <c r="D239" s="11"/>
      <c r="E239" s="11"/>
      <c r="F239" s="11"/>
      <c r="G239" s="11"/>
      <c r="H239" s="11"/>
      <c r="I239" s="11"/>
      <c r="J239" s="11"/>
      <c r="K239" s="11"/>
      <c r="L239" s="15"/>
      <c r="M239" s="15"/>
      <c r="N239" s="15"/>
      <c r="O239" s="15"/>
      <c r="P239" s="15"/>
      <c r="Q239" s="11"/>
      <c r="R239" s="11"/>
      <c r="S239" s="11"/>
      <c r="T239" s="11"/>
      <c r="U239" s="15"/>
      <c r="V239" s="11"/>
      <c r="W239" s="11"/>
      <c r="X239" s="11"/>
      <c r="Y239" s="11"/>
      <c r="Z239" s="11"/>
    </row>
    <row r="240">
      <c r="A240" s="18"/>
      <c r="B240" s="11"/>
      <c r="C240" s="11"/>
      <c r="D240" s="11"/>
      <c r="E240" s="11"/>
      <c r="F240" s="11"/>
      <c r="G240" s="11"/>
      <c r="H240" s="11"/>
      <c r="I240" s="11"/>
      <c r="J240" s="11"/>
      <c r="K240" s="11"/>
      <c r="L240" s="15"/>
      <c r="M240" s="15"/>
      <c r="N240" s="15"/>
      <c r="O240" s="15"/>
      <c r="P240" s="15"/>
      <c r="Q240" s="11"/>
      <c r="R240" s="11"/>
      <c r="S240" s="11"/>
      <c r="T240" s="11"/>
      <c r="U240" s="15"/>
      <c r="V240" s="11"/>
      <c r="W240" s="11"/>
      <c r="X240" s="11"/>
      <c r="Y240" s="11"/>
      <c r="Z240" s="11"/>
    </row>
    <row r="241">
      <c r="A241" s="18"/>
      <c r="B241" s="11"/>
      <c r="C241" s="11"/>
      <c r="D241" s="11"/>
      <c r="E241" s="11"/>
      <c r="F241" s="11"/>
      <c r="G241" s="11"/>
      <c r="H241" s="11"/>
      <c r="I241" s="11"/>
      <c r="J241" s="11"/>
      <c r="K241" s="11"/>
      <c r="L241" s="15"/>
      <c r="M241" s="15"/>
      <c r="N241" s="15"/>
      <c r="O241" s="15"/>
      <c r="P241" s="15"/>
      <c r="Q241" s="11"/>
      <c r="R241" s="11"/>
      <c r="S241" s="11"/>
      <c r="T241" s="11"/>
      <c r="U241" s="15"/>
      <c r="V241" s="11"/>
      <c r="W241" s="11"/>
      <c r="X241" s="11"/>
      <c r="Y241" s="11"/>
      <c r="Z241" s="11"/>
    </row>
    <row r="242">
      <c r="A242" s="18"/>
      <c r="B242" s="11"/>
      <c r="C242" s="11"/>
      <c r="D242" s="11"/>
      <c r="E242" s="11"/>
      <c r="F242" s="11"/>
      <c r="G242" s="11"/>
      <c r="H242" s="11"/>
      <c r="I242" s="11"/>
      <c r="J242" s="11"/>
      <c r="K242" s="11"/>
      <c r="L242" s="15"/>
      <c r="M242" s="15"/>
      <c r="N242" s="15"/>
      <c r="O242" s="15"/>
      <c r="P242" s="15"/>
      <c r="Q242" s="11"/>
      <c r="R242" s="11"/>
      <c r="S242" s="11"/>
      <c r="T242" s="11"/>
      <c r="U242" s="15"/>
      <c r="V242" s="11"/>
      <c r="W242" s="11"/>
      <c r="X242" s="11"/>
      <c r="Y242" s="11"/>
      <c r="Z242" s="11"/>
    </row>
    <row r="243">
      <c r="A243" s="18"/>
      <c r="B243" s="11"/>
      <c r="C243" s="11"/>
      <c r="D243" s="11"/>
      <c r="E243" s="11"/>
      <c r="F243" s="11"/>
      <c r="G243" s="11"/>
      <c r="H243" s="11"/>
      <c r="I243" s="11"/>
      <c r="J243" s="11"/>
      <c r="K243" s="11"/>
      <c r="L243" s="15"/>
      <c r="M243" s="15"/>
      <c r="N243" s="15"/>
      <c r="O243" s="15"/>
      <c r="P243" s="15"/>
      <c r="Q243" s="11"/>
      <c r="R243" s="11"/>
      <c r="S243" s="11"/>
      <c r="T243" s="11"/>
      <c r="U243" s="15"/>
      <c r="V243" s="11"/>
      <c r="W243" s="11"/>
      <c r="X243" s="11"/>
      <c r="Y243" s="11"/>
      <c r="Z243" s="11"/>
    </row>
    <row r="244">
      <c r="A244" s="18"/>
      <c r="B244" s="11"/>
      <c r="C244" s="11"/>
      <c r="D244" s="11"/>
      <c r="E244" s="11"/>
      <c r="F244" s="11"/>
      <c r="G244" s="11"/>
      <c r="H244" s="11"/>
      <c r="I244" s="11"/>
      <c r="J244" s="11"/>
      <c r="K244" s="11"/>
      <c r="L244" s="15"/>
      <c r="M244" s="15"/>
      <c r="N244" s="15"/>
      <c r="O244" s="15"/>
      <c r="P244" s="15"/>
      <c r="Q244" s="11"/>
      <c r="R244" s="11"/>
      <c r="S244" s="11"/>
      <c r="T244" s="11"/>
      <c r="U244" s="15"/>
      <c r="V244" s="11"/>
      <c r="W244" s="11"/>
      <c r="X244" s="11"/>
      <c r="Y244" s="11"/>
      <c r="Z244" s="11"/>
    </row>
    <row r="245">
      <c r="A245" s="18"/>
      <c r="B245" s="11"/>
      <c r="C245" s="11"/>
      <c r="D245" s="11"/>
      <c r="E245" s="11"/>
      <c r="F245" s="11"/>
      <c r="G245" s="11"/>
      <c r="H245" s="11"/>
      <c r="I245" s="11"/>
      <c r="J245" s="11"/>
      <c r="K245" s="11"/>
      <c r="L245" s="15"/>
      <c r="M245" s="15"/>
      <c r="N245" s="15"/>
      <c r="O245" s="15"/>
      <c r="P245" s="15"/>
      <c r="Q245" s="11"/>
      <c r="R245" s="11"/>
      <c r="S245" s="11"/>
      <c r="T245" s="11"/>
      <c r="U245" s="15"/>
      <c r="V245" s="11"/>
      <c r="W245" s="11"/>
      <c r="X245" s="11"/>
      <c r="Y245" s="11"/>
      <c r="Z245" s="11"/>
    </row>
    <row r="246">
      <c r="A246" s="18"/>
      <c r="B246" s="11"/>
      <c r="C246" s="11"/>
      <c r="D246" s="11"/>
      <c r="E246" s="11"/>
      <c r="F246" s="11"/>
      <c r="G246" s="11"/>
      <c r="H246" s="11"/>
      <c r="I246" s="11"/>
      <c r="J246" s="11"/>
      <c r="K246" s="11"/>
      <c r="L246" s="15"/>
      <c r="M246" s="15"/>
      <c r="N246" s="15"/>
      <c r="O246" s="15"/>
      <c r="P246" s="15"/>
      <c r="Q246" s="11"/>
      <c r="R246" s="11"/>
      <c r="S246" s="11"/>
      <c r="T246" s="11"/>
      <c r="U246" s="15"/>
      <c r="V246" s="11"/>
      <c r="W246" s="11"/>
      <c r="X246" s="11"/>
      <c r="Y246" s="11"/>
      <c r="Z246" s="11"/>
    </row>
    <row r="247">
      <c r="A247" s="18"/>
      <c r="B247" s="11"/>
      <c r="C247" s="11"/>
      <c r="D247" s="11"/>
      <c r="E247" s="11"/>
      <c r="F247" s="11"/>
      <c r="G247" s="11"/>
      <c r="H247" s="11"/>
      <c r="I247" s="11"/>
      <c r="J247" s="11"/>
      <c r="K247" s="11"/>
      <c r="L247" s="15"/>
      <c r="M247" s="15"/>
      <c r="N247" s="15"/>
      <c r="O247" s="15"/>
      <c r="P247" s="15"/>
      <c r="Q247" s="11"/>
      <c r="R247" s="11"/>
      <c r="S247" s="11"/>
      <c r="T247" s="11"/>
      <c r="U247" s="15"/>
      <c r="V247" s="11"/>
      <c r="W247" s="11"/>
      <c r="X247" s="11"/>
      <c r="Y247" s="11"/>
      <c r="Z247" s="11"/>
    </row>
    <row r="248">
      <c r="A248" s="18"/>
      <c r="B248" s="11"/>
      <c r="C248" s="11"/>
      <c r="D248" s="11"/>
      <c r="E248" s="11"/>
      <c r="F248" s="11"/>
      <c r="G248" s="11"/>
      <c r="H248" s="11"/>
      <c r="I248" s="11"/>
      <c r="J248" s="11"/>
      <c r="K248" s="11"/>
      <c r="L248" s="15"/>
      <c r="M248" s="15"/>
      <c r="N248" s="15"/>
      <c r="O248" s="15"/>
      <c r="P248" s="15"/>
      <c r="Q248" s="11"/>
      <c r="R248" s="11"/>
      <c r="S248" s="11"/>
      <c r="T248" s="11"/>
      <c r="U248" s="15"/>
      <c r="V248" s="11"/>
      <c r="W248" s="11"/>
      <c r="X248" s="11"/>
      <c r="Y248" s="11"/>
      <c r="Z248" s="11"/>
    </row>
    <row r="249">
      <c r="A249" s="18"/>
      <c r="B249" s="11"/>
      <c r="C249" s="11"/>
      <c r="D249" s="11"/>
      <c r="E249" s="11"/>
      <c r="F249" s="11"/>
      <c r="G249" s="11"/>
      <c r="H249" s="11"/>
      <c r="I249" s="11"/>
      <c r="J249" s="11"/>
      <c r="K249" s="11"/>
      <c r="L249" s="15"/>
      <c r="M249" s="15"/>
      <c r="N249" s="15"/>
      <c r="O249" s="15"/>
      <c r="P249" s="15"/>
      <c r="Q249" s="11"/>
      <c r="R249" s="11"/>
      <c r="S249" s="11"/>
      <c r="T249" s="11"/>
      <c r="U249" s="15"/>
      <c r="V249" s="11"/>
      <c r="W249" s="11"/>
      <c r="X249" s="11"/>
      <c r="Y249" s="11"/>
      <c r="Z249" s="11"/>
    </row>
    <row r="250">
      <c r="A250" s="18"/>
      <c r="B250" s="11"/>
      <c r="C250" s="11"/>
      <c r="D250" s="11"/>
      <c r="E250" s="11"/>
      <c r="F250" s="11"/>
      <c r="G250" s="11"/>
      <c r="H250" s="11"/>
      <c r="I250" s="11"/>
      <c r="J250" s="11"/>
      <c r="K250" s="11"/>
      <c r="L250" s="15"/>
      <c r="M250" s="15"/>
      <c r="N250" s="15"/>
      <c r="O250" s="15"/>
      <c r="P250" s="15"/>
      <c r="Q250" s="11"/>
      <c r="R250" s="11"/>
      <c r="S250" s="11"/>
      <c r="T250" s="11"/>
      <c r="U250" s="15"/>
      <c r="V250" s="11"/>
      <c r="W250" s="11"/>
      <c r="X250" s="11"/>
      <c r="Y250" s="11"/>
      <c r="Z250" s="11"/>
    </row>
    <row r="251">
      <c r="A251" s="18"/>
      <c r="B251" s="11"/>
      <c r="C251" s="11"/>
      <c r="D251" s="11"/>
      <c r="E251" s="11"/>
      <c r="F251" s="11"/>
      <c r="G251" s="11"/>
      <c r="H251" s="11"/>
      <c r="I251" s="11"/>
      <c r="J251" s="11"/>
      <c r="K251" s="11"/>
      <c r="L251" s="15"/>
      <c r="M251" s="15"/>
      <c r="N251" s="15"/>
      <c r="O251" s="15"/>
      <c r="P251" s="15"/>
      <c r="Q251" s="11"/>
      <c r="R251" s="11"/>
      <c r="S251" s="11"/>
      <c r="T251" s="11"/>
      <c r="U251" s="15"/>
      <c r="V251" s="11"/>
      <c r="W251" s="11"/>
      <c r="X251" s="11"/>
      <c r="Y251" s="11"/>
      <c r="Z251" s="11"/>
    </row>
    <row r="252">
      <c r="A252" s="18"/>
      <c r="B252" s="11"/>
      <c r="C252" s="11"/>
      <c r="D252" s="11"/>
      <c r="E252" s="11"/>
      <c r="F252" s="11"/>
      <c r="G252" s="11"/>
      <c r="H252" s="11"/>
      <c r="I252" s="11"/>
      <c r="J252" s="11"/>
      <c r="K252" s="11"/>
      <c r="L252" s="15"/>
      <c r="M252" s="15"/>
      <c r="N252" s="15"/>
      <c r="O252" s="15"/>
      <c r="P252" s="15"/>
      <c r="Q252" s="11"/>
      <c r="R252" s="11"/>
      <c r="S252" s="11"/>
      <c r="T252" s="11"/>
      <c r="U252" s="15"/>
      <c r="V252" s="11"/>
      <c r="W252" s="11"/>
      <c r="X252" s="11"/>
      <c r="Y252" s="11"/>
      <c r="Z252" s="11"/>
    </row>
    <row r="253">
      <c r="A253" s="18"/>
      <c r="B253" s="11"/>
      <c r="C253" s="11"/>
      <c r="D253" s="11"/>
      <c r="E253" s="11"/>
      <c r="F253" s="11"/>
      <c r="G253" s="11"/>
      <c r="H253" s="11"/>
      <c r="I253" s="11"/>
      <c r="J253" s="11"/>
      <c r="K253" s="11"/>
      <c r="L253" s="15"/>
      <c r="M253" s="15"/>
      <c r="N253" s="15"/>
      <c r="O253" s="15"/>
      <c r="P253" s="15"/>
      <c r="Q253" s="11"/>
      <c r="R253" s="11"/>
      <c r="S253" s="11"/>
      <c r="T253" s="11"/>
      <c r="U253" s="15"/>
      <c r="V253" s="11"/>
      <c r="W253" s="11"/>
      <c r="X253" s="11"/>
      <c r="Y253" s="11"/>
      <c r="Z253" s="11"/>
    </row>
    <row r="254">
      <c r="A254" s="18"/>
      <c r="B254" s="11"/>
      <c r="C254" s="11"/>
      <c r="D254" s="11"/>
      <c r="E254" s="11"/>
      <c r="F254" s="11"/>
      <c r="G254" s="11"/>
      <c r="H254" s="11"/>
      <c r="I254" s="11"/>
      <c r="J254" s="11"/>
      <c r="K254" s="11"/>
      <c r="L254" s="15"/>
      <c r="M254" s="15"/>
      <c r="N254" s="15"/>
      <c r="O254" s="15"/>
      <c r="P254" s="15"/>
      <c r="Q254" s="11"/>
      <c r="R254" s="11"/>
      <c r="S254" s="11"/>
      <c r="T254" s="11"/>
      <c r="U254" s="15"/>
      <c r="V254" s="11"/>
      <c r="W254" s="11"/>
      <c r="X254" s="11"/>
      <c r="Y254" s="11"/>
      <c r="Z254" s="11"/>
    </row>
    <row r="255">
      <c r="A255" s="18"/>
      <c r="B255" s="11"/>
      <c r="C255" s="11"/>
      <c r="D255" s="11"/>
      <c r="E255" s="11"/>
      <c r="F255" s="11"/>
      <c r="G255" s="11"/>
      <c r="H255" s="11"/>
      <c r="I255" s="11"/>
      <c r="J255" s="11"/>
      <c r="K255" s="11"/>
      <c r="L255" s="15"/>
      <c r="M255" s="15"/>
      <c r="N255" s="15"/>
      <c r="O255" s="15"/>
      <c r="P255" s="15"/>
      <c r="Q255" s="11"/>
      <c r="R255" s="11"/>
      <c r="S255" s="11"/>
      <c r="T255" s="11"/>
      <c r="U255" s="15"/>
      <c r="V255" s="11"/>
      <c r="W255" s="11"/>
      <c r="X255" s="11"/>
      <c r="Y255" s="11"/>
      <c r="Z255" s="11"/>
    </row>
    <row r="256">
      <c r="A256" s="18"/>
      <c r="B256" s="11"/>
      <c r="C256" s="11"/>
      <c r="D256" s="11"/>
      <c r="E256" s="11"/>
      <c r="F256" s="11"/>
      <c r="G256" s="11"/>
      <c r="H256" s="11"/>
      <c r="I256" s="11"/>
      <c r="J256" s="11"/>
      <c r="K256" s="11"/>
      <c r="L256" s="15"/>
      <c r="M256" s="15"/>
      <c r="N256" s="15"/>
      <c r="O256" s="15"/>
      <c r="P256" s="15"/>
      <c r="Q256" s="11"/>
      <c r="R256" s="11"/>
      <c r="S256" s="11"/>
      <c r="T256" s="11"/>
      <c r="U256" s="15"/>
      <c r="V256" s="11"/>
      <c r="W256" s="11"/>
      <c r="X256" s="11"/>
      <c r="Y256" s="11"/>
      <c r="Z256" s="11"/>
    </row>
    <row r="257">
      <c r="A257" s="18"/>
      <c r="B257" s="11"/>
      <c r="C257" s="11"/>
      <c r="D257" s="11"/>
      <c r="E257" s="11"/>
      <c r="F257" s="11"/>
      <c r="G257" s="11"/>
      <c r="H257" s="11"/>
      <c r="I257" s="11"/>
      <c r="J257" s="11"/>
      <c r="K257" s="11"/>
      <c r="L257" s="15"/>
      <c r="M257" s="15"/>
      <c r="N257" s="15"/>
      <c r="O257" s="15"/>
      <c r="P257" s="15"/>
      <c r="Q257" s="11"/>
      <c r="R257" s="11"/>
      <c r="S257" s="11"/>
      <c r="T257" s="11"/>
      <c r="U257" s="15"/>
      <c r="V257" s="11"/>
      <c r="W257" s="11"/>
      <c r="X257" s="11"/>
      <c r="Y257" s="11"/>
      <c r="Z257" s="11"/>
    </row>
    <row r="258">
      <c r="A258" s="18"/>
      <c r="B258" s="11"/>
      <c r="C258" s="11"/>
      <c r="D258" s="11"/>
      <c r="E258" s="11"/>
      <c r="F258" s="11"/>
      <c r="G258" s="11"/>
      <c r="H258" s="11"/>
      <c r="I258" s="11"/>
      <c r="J258" s="11"/>
      <c r="K258" s="11"/>
      <c r="L258" s="15"/>
      <c r="M258" s="15"/>
      <c r="N258" s="15"/>
      <c r="O258" s="15"/>
      <c r="P258" s="15"/>
      <c r="Q258" s="11"/>
      <c r="R258" s="11"/>
      <c r="S258" s="11"/>
      <c r="T258" s="11"/>
      <c r="U258" s="15"/>
      <c r="V258" s="11"/>
      <c r="W258" s="11"/>
      <c r="X258" s="11"/>
      <c r="Y258" s="11"/>
      <c r="Z258" s="11"/>
    </row>
    <row r="259">
      <c r="A259" s="18"/>
      <c r="B259" s="11"/>
      <c r="C259" s="11"/>
      <c r="D259" s="11"/>
      <c r="E259" s="11"/>
      <c r="F259" s="11"/>
      <c r="G259" s="11"/>
      <c r="H259" s="11"/>
      <c r="I259" s="11"/>
      <c r="J259" s="11"/>
      <c r="K259" s="11"/>
      <c r="L259" s="15"/>
      <c r="M259" s="15"/>
      <c r="N259" s="15"/>
      <c r="O259" s="15"/>
      <c r="P259" s="15"/>
      <c r="Q259" s="11"/>
      <c r="R259" s="11"/>
      <c r="S259" s="11"/>
      <c r="T259" s="11"/>
      <c r="U259" s="15"/>
      <c r="V259" s="11"/>
      <c r="W259" s="11"/>
      <c r="X259" s="11"/>
      <c r="Y259" s="11"/>
      <c r="Z259" s="11"/>
    </row>
    <row r="260">
      <c r="A260" s="18"/>
      <c r="B260" s="11"/>
      <c r="C260" s="11"/>
      <c r="D260" s="11"/>
      <c r="E260" s="11"/>
      <c r="F260" s="11"/>
      <c r="G260" s="11"/>
      <c r="H260" s="11"/>
      <c r="I260" s="11"/>
      <c r="J260" s="11"/>
      <c r="K260" s="11"/>
      <c r="L260" s="15"/>
      <c r="M260" s="15"/>
      <c r="N260" s="15"/>
      <c r="O260" s="15"/>
      <c r="P260" s="15"/>
      <c r="Q260" s="11"/>
      <c r="R260" s="11"/>
      <c r="S260" s="11"/>
      <c r="T260" s="11"/>
      <c r="U260" s="15"/>
      <c r="V260" s="11"/>
      <c r="W260" s="11"/>
      <c r="X260" s="11"/>
      <c r="Y260" s="11"/>
      <c r="Z260" s="11"/>
    </row>
    <row r="261">
      <c r="A261" s="18"/>
      <c r="B261" s="11"/>
      <c r="C261" s="11"/>
      <c r="D261" s="11"/>
      <c r="E261" s="11"/>
      <c r="F261" s="11"/>
      <c r="G261" s="11"/>
      <c r="H261" s="11"/>
      <c r="I261" s="11"/>
      <c r="J261" s="11"/>
      <c r="K261" s="11"/>
      <c r="L261" s="15"/>
      <c r="M261" s="15"/>
      <c r="N261" s="15"/>
      <c r="O261" s="15"/>
      <c r="P261" s="15"/>
      <c r="Q261" s="11"/>
      <c r="R261" s="11"/>
      <c r="S261" s="11"/>
      <c r="T261" s="11"/>
      <c r="U261" s="15"/>
      <c r="V261" s="11"/>
      <c r="W261" s="11"/>
      <c r="X261" s="11"/>
      <c r="Y261" s="11"/>
      <c r="Z261" s="11"/>
    </row>
    <row r="262">
      <c r="A262" s="18"/>
      <c r="B262" s="11"/>
      <c r="C262" s="11"/>
      <c r="D262" s="11"/>
      <c r="E262" s="11"/>
      <c r="F262" s="11"/>
      <c r="G262" s="11"/>
      <c r="H262" s="11"/>
      <c r="I262" s="11"/>
      <c r="J262" s="11"/>
      <c r="K262" s="11"/>
      <c r="L262" s="15"/>
      <c r="M262" s="15"/>
      <c r="N262" s="15"/>
      <c r="O262" s="15"/>
      <c r="P262" s="15"/>
      <c r="Q262" s="11"/>
      <c r="R262" s="11"/>
      <c r="S262" s="11"/>
      <c r="T262" s="11"/>
      <c r="U262" s="15"/>
      <c r="V262" s="11"/>
      <c r="W262" s="11"/>
      <c r="X262" s="11"/>
      <c r="Y262" s="11"/>
      <c r="Z262" s="11"/>
    </row>
    <row r="263">
      <c r="A263" s="18"/>
      <c r="B263" s="11"/>
      <c r="C263" s="11"/>
      <c r="D263" s="11"/>
      <c r="E263" s="11"/>
      <c r="F263" s="11"/>
      <c r="G263" s="11"/>
      <c r="H263" s="11"/>
      <c r="I263" s="11"/>
      <c r="J263" s="11"/>
      <c r="K263" s="11"/>
      <c r="L263" s="15"/>
      <c r="M263" s="15"/>
      <c r="N263" s="15"/>
      <c r="O263" s="15"/>
      <c r="P263" s="15"/>
      <c r="Q263" s="11"/>
      <c r="R263" s="11"/>
      <c r="S263" s="11"/>
      <c r="T263" s="11"/>
      <c r="U263" s="15"/>
      <c r="V263" s="11"/>
      <c r="W263" s="11"/>
      <c r="X263" s="11"/>
      <c r="Y263" s="11"/>
      <c r="Z263" s="11"/>
    </row>
    <row r="264">
      <c r="A264" s="18"/>
      <c r="B264" s="11"/>
      <c r="C264" s="11"/>
      <c r="D264" s="11"/>
      <c r="E264" s="11"/>
      <c r="F264" s="11"/>
      <c r="G264" s="11"/>
      <c r="H264" s="11"/>
      <c r="I264" s="11"/>
      <c r="J264" s="11"/>
      <c r="K264" s="11"/>
      <c r="L264" s="15"/>
      <c r="M264" s="15"/>
      <c r="N264" s="15"/>
      <c r="O264" s="15"/>
      <c r="P264" s="15"/>
      <c r="Q264" s="11"/>
      <c r="R264" s="11"/>
      <c r="S264" s="11"/>
      <c r="T264" s="11"/>
      <c r="U264" s="15"/>
      <c r="V264" s="11"/>
      <c r="W264" s="11"/>
      <c r="X264" s="11"/>
      <c r="Y264" s="11"/>
      <c r="Z264" s="11"/>
    </row>
    <row r="265">
      <c r="A265" s="18"/>
      <c r="B265" s="11"/>
      <c r="C265" s="11"/>
      <c r="D265" s="11"/>
      <c r="E265" s="11"/>
      <c r="F265" s="11"/>
      <c r="G265" s="11"/>
      <c r="H265" s="11"/>
      <c r="I265" s="11"/>
      <c r="J265" s="11"/>
      <c r="K265" s="11"/>
      <c r="L265" s="15"/>
      <c r="M265" s="15"/>
      <c r="N265" s="15"/>
      <c r="O265" s="15"/>
      <c r="P265" s="15"/>
      <c r="Q265" s="11"/>
      <c r="R265" s="11"/>
      <c r="S265" s="11"/>
      <c r="T265" s="11"/>
      <c r="U265" s="15"/>
      <c r="V265" s="11"/>
      <c r="W265" s="11"/>
      <c r="X265" s="11"/>
      <c r="Y265" s="11"/>
      <c r="Z265" s="11"/>
    </row>
    <row r="266">
      <c r="A266" s="18"/>
      <c r="B266" s="11"/>
      <c r="C266" s="11"/>
      <c r="D266" s="11"/>
      <c r="E266" s="11"/>
      <c r="F266" s="11"/>
      <c r="G266" s="11"/>
      <c r="H266" s="11"/>
      <c r="I266" s="11"/>
      <c r="J266" s="11"/>
      <c r="K266" s="11"/>
      <c r="L266" s="15"/>
      <c r="M266" s="15"/>
      <c r="N266" s="15"/>
      <c r="O266" s="15"/>
      <c r="P266" s="15"/>
      <c r="Q266" s="11"/>
      <c r="R266" s="11"/>
      <c r="S266" s="11"/>
      <c r="T266" s="11"/>
      <c r="U266" s="15"/>
      <c r="V266" s="11"/>
      <c r="W266" s="11"/>
      <c r="X266" s="11"/>
      <c r="Y266" s="11"/>
      <c r="Z266" s="11"/>
    </row>
    <row r="267">
      <c r="A267" s="18"/>
      <c r="B267" s="11"/>
      <c r="C267" s="11"/>
      <c r="D267" s="11"/>
      <c r="E267" s="11"/>
      <c r="F267" s="11"/>
      <c r="G267" s="11"/>
      <c r="H267" s="11"/>
      <c r="I267" s="11"/>
      <c r="J267" s="11"/>
      <c r="K267" s="11"/>
      <c r="L267" s="15"/>
      <c r="M267" s="15"/>
      <c r="N267" s="15"/>
      <c r="O267" s="15"/>
      <c r="P267" s="15"/>
      <c r="Q267" s="11"/>
      <c r="R267" s="11"/>
      <c r="S267" s="11"/>
      <c r="T267" s="11"/>
      <c r="U267" s="15"/>
      <c r="V267" s="11"/>
      <c r="W267" s="11"/>
      <c r="X267" s="11"/>
      <c r="Y267" s="11"/>
      <c r="Z267" s="11"/>
    </row>
    <row r="268">
      <c r="A268" s="18"/>
      <c r="B268" s="11"/>
      <c r="C268" s="11"/>
      <c r="D268" s="11"/>
      <c r="E268" s="11"/>
      <c r="F268" s="11"/>
      <c r="G268" s="11"/>
      <c r="H268" s="11"/>
      <c r="I268" s="11"/>
      <c r="J268" s="11"/>
      <c r="K268" s="11"/>
      <c r="L268" s="15"/>
      <c r="M268" s="15"/>
      <c r="N268" s="15"/>
      <c r="O268" s="15"/>
      <c r="P268" s="15"/>
      <c r="Q268" s="11"/>
      <c r="R268" s="11"/>
      <c r="S268" s="11"/>
      <c r="T268" s="11"/>
      <c r="U268" s="15"/>
      <c r="V268" s="11"/>
      <c r="W268" s="11"/>
      <c r="X268" s="11"/>
      <c r="Y268" s="11"/>
      <c r="Z268" s="11"/>
    </row>
    <row r="269">
      <c r="A269" s="18"/>
      <c r="B269" s="11"/>
      <c r="C269" s="11"/>
      <c r="D269" s="11"/>
      <c r="E269" s="11"/>
      <c r="F269" s="11"/>
      <c r="G269" s="11"/>
      <c r="H269" s="11"/>
      <c r="I269" s="11"/>
      <c r="J269" s="11"/>
      <c r="K269" s="11"/>
      <c r="L269" s="15"/>
      <c r="M269" s="15"/>
      <c r="N269" s="15"/>
      <c r="O269" s="15"/>
      <c r="P269" s="15"/>
      <c r="Q269" s="11"/>
      <c r="R269" s="11"/>
      <c r="S269" s="11"/>
      <c r="T269" s="11"/>
      <c r="U269" s="15"/>
      <c r="V269" s="11"/>
      <c r="W269" s="11"/>
      <c r="X269" s="11"/>
      <c r="Y269" s="11"/>
      <c r="Z269" s="11"/>
    </row>
    <row r="270">
      <c r="A270" s="18"/>
      <c r="B270" s="11"/>
      <c r="C270" s="11"/>
      <c r="D270" s="11"/>
      <c r="E270" s="11"/>
      <c r="F270" s="11"/>
      <c r="G270" s="11"/>
      <c r="H270" s="11"/>
      <c r="I270" s="11"/>
      <c r="J270" s="11"/>
      <c r="K270" s="11"/>
      <c r="L270" s="15"/>
      <c r="M270" s="15"/>
      <c r="N270" s="15"/>
      <c r="O270" s="15"/>
      <c r="P270" s="15"/>
      <c r="Q270" s="11"/>
      <c r="R270" s="11"/>
      <c r="S270" s="11"/>
      <c r="T270" s="11"/>
      <c r="U270" s="15"/>
      <c r="V270" s="11"/>
      <c r="W270" s="11"/>
      <c r="X270" s="11"/>
      <c r="Y270" s="11"/>
      <c r="Z270" s="11"/>
    </row>
    <row r="271">
      <c r="A271" s="18"/>
      <c r="B271" s="11"/>
      <c r="C271" s="11"/>
      <c r="D271" s="11"/>
      <c r="E271" s="11"/>
      <c r="F271" s="11"/>
      <c r="G271" s="11"/>
      <c r="H271" s="11"/>
      <c r="I271" s="11"/>
      <c r="J271" s="11"/>
      <c r="K271" s="11"/>
      <c r="L271" s="15"/>
      <c r="M271" s="15"/>
      <c r="N271" s="15"/>
      <c r="O271" s="15"/>
      <c r="P271" s="15"/>
      <c r="Q271" s="11"/>
      <c r="R271" s="11"/>
      <c r="S271" s="11"/>
      <c r="T271" s="11"/>
      <c r="U271" s="15"/>
      <c r="V271" s="11"/>
      <c r="W271" s="11"/>
      <c r="X271" s="11"/>
      <c r="Y271" s="11"/>
      <c r="Z271" s="11"/>
    </row>
    <row r="272">
      <c r="A272" s="18"/>
      <c r="B272" s="11"/>
      <c r="C272" s="11"/>
      <c r="D272" s="11"/>
      <c r="E272" s="11"/>
      <c r="F272" s="11"/>
      <c r="G272" s="11"/>
      <c r="H272" s="11"/>
      <c r="I272" s="11"/>
      <c r="J272" s="11"/>
      <c r="K272" s="11"/>
      <c r="L272" s="15"/>
      <c r="M272" s="15"/>
      <c r="N272" s="15"/>
      <c r="O272" s="15"/>
      <c r="P272" s="15"/>
      <c r="Q272" s="11"/>
      <c r="R272" s="11"/>
      <c r="S272" s="11"/>
      <c r="T272" s="11"/>
      <c r="U272" s="15"/>
      <c r="V272" s="11"/>
      <c r="W272" s="11"/>
      <c r="X272" s="11"/>
      <c r="Y272" s="11"/>
      <c r="Z272" s="11"/>
    </row>
    <row r="273">
      <c r="A273" s="18"/>
      <c r="B273" s="11"/>
      <c r="C273" s="11"/>
      <c r="D273" s="11"/>
      <c r="E273" s="11"/>
      <c r="F273" s="11"/>
      <c r="G273" s="11"/>
      <c r="H273" s="11"/>
      <c r="I273" s="11"/>
      <c r="J273" s="11"/>
      <c r="K273" s="11"/>
      <c r="L273" s="15"/>
      <c r="M273" s="15"/>
      <c r="N273" s="15"/>
      <c r="O273" s="15"/>
      <c r="P273" s="15"/>
      <c r="Q273" s="11"/>
      <c r="R273" s="11"/>
      <c r="S273" s="11"/>
      <c r="T273" s="11"/>
      <c r="U273" s="15"/>
      <c r="V273" s="11"/>
      <c r="W273" s="11"/>
      <c r="X273" s="11"/>
      <c r="Y273" s="11"/>
      <c r="Z273" s="11"/>
    </row>
    <row r="274">
      <c r="A274" s="18"/>
      <c r="B274" s="11"/>
      <c r="C274" s="11"/>
      <c r="D274" s="11"/>
      <c r="E274" s="11"/>
      <c r="F274" s="11"/>
      <c r="G274" s="11"/>
      <c r="H274" s="11"/>
      <c r="I274" s="11"/>
      <c r="J274" s="11"/>
      <c r="K274" s="11"/>
      <c r="L274" s="15"/>
      <c r="M274" s="15"/>
      <c r="N274" s="15"/>
      <c r="O274" s="15"/>
      <c r="P274" s="15"/>
      <c r="Q274" s="11"/>
      <c r="R274" s="11"/>
      <c r="S274" s="11"/>
      <c r="T274" s="11"/>
      <c r="U274" s="15"/>
      <c r="V274" s="11"/>
      <c r="W274" s="11"/>
      <c r="X274" s="11"/>
      <c r="Y274" s="11"/>
      <c r="Z274" s="11"/>
    </row>
    <row r="275">
      <c r="A275" s="18"/>
      <c r="B275" s="11"/>
      <c r="C275" s="11"/>
      <c r="D275" s="11"/>
      <c r="E275" s="11"/>
      <c r="F275" s="11"/>
      <c r="G275" s="11"/>
      <c r="H275" s="11"/>
      <c r="I275" s="11"/>
      <c r="J275" s="11"/>
      <c r="K275" s="11"/>
      <c r="L275" s="15"/>
      <c r="M275" s="15"/>
      <c r="N275" s="15"/>
      <c r="O275" s="15"/>
      <c r="P275" s="15"/>
      <c r="Q275" s="11"/>
      <c r="R275" s="11"/>
      <c r="S275" s="11"/>
      <c r="T275" s="11"/>
      <c r="U275" s="15"/>
      <c r="V275" s="11"/>
      <c r="W275" s="11"/>
      <c r="X275" s="11"/>
      <c r="Y275" s="11"/>
      <c r="Z275" s="11"/>
    </row>
    <row r="276">
      <c r="A276" s="18"/>
      <c r="B276" s="11"/>
      <c r="C276" s="11"/>
      <c r="D276" s="11"/>
      <c r="E276" s="11"/>
      <c r="F276" s="11"/>
      <c r="G276" s="11"/>
      <c r="H276" s="11"/>
      <c r="I276" s="11"/>
      <c r="J276" s="11"/>
      <c r="K276" s="11"/>
      <c r="L276" s="15"/>
      <c r="M276" s="15"/>
      <c r="N276" s="15"/>
      <c r="O276" s="15"/>
      <c r="P276" s="15"/>
      <c r="Q276" s="11"/>
      <c r="R276" s="11"/>
      <c r="S276" s="11"/>
      <c r="T276" s="11"/>
      <c r="U276" s="15"/>
      <c r="V276" s="11"/>
      <c r="W276" s="11"/>
      <c r="X276" s="11"/>
      <c r="Y276" s="11"/>
      <c r="Z276" s="11"/>
    </row>
    <row r="277">
      <c r="A277" s="18"/>
      <c r="B277" s="11"/>
      <c r="C277" s="11"/>
      <c r="D277" s="11"/>
      <c r="E277" s="11"/>
      <c r="F277" s="11"/>
      <c r="G277" s="11"/>
      <c r="H277" s="11"/>
      <c r="I277" s="11"/>
      <c r="J277" s="11"/>
      <c r="K277" s="11"/>
      <c r="L277" s="15"/>
      <c r="M277" s="15"/>
      <c r="N277" s="15"/>
      <c r="O277" s="15"/>
      <c r="P277" s="15"/>
      <c r="Q277" s="11"/>
      <c r="R277" s="11"/>
      <c r="S277" s="11"/>
      <c r="T277" s="11"/>
      <c r="U277" s="15"/>
      <c r="V277" s="11"/>
      <c r="W277" s="11"/>
      <c r="X277" s="11"/>
      <c r="Y277" s="11"/>
      <c r="Z277" s="11"/>
    </row>
    <row r="278">
      <c r="A278" s="18"/>
      <c r="B278" s="11"/>
      <c r="C278" s="11"/>
      <c r="D278" s="11"/>
      <c r="E278" s="11"/>
      <c r="F278" s="11"/>
      <c r="G278" s="11"/>
      <c r="H278" s="11"/>
      <c r="I278" s="11"/>
      <c r="J278" s="11"/>
      <c r="K278" s="11"/>
      <c r="L278" s="15"/>
      <c r="M278" s="15"/>
      <c r="N278" s="15"/>
      <c r="O278" s="15"/>
      <c r="P278" s="15"/>
      <c r="Q278" s="11"/>
      <c r="R278" s="11"/>
      <c r="S278" s="11"/>
      <c r="T278" s="11"/>
      <c r="U278" s="15"/>
      <c r="V278" s="11"/>
      <c r="W278" s="11"/>
      <c r="X278" s="11"/>
      <c r="Y278" s="11"/>
      <c r="Z278" s="11"/>
    </row>
    <row r="279">
      <c r="A279" s="18"/>
      <c r="B279" s="11"/>
      <c r="C279" s="11"/>
      <c r="D279" s="11"/>
      <c r="E279" s="11"/>
      <c r="F279" s="11"/>
      <c r="G279" s="11"/>
      <c r="H279" s="11"/>
      <c r="I279" s="11"/>
      <c r="J279" s="11"/>
      <c r="K279" s="11"/>
      <c r="L279" s="15"/>
      <c r="M279" s="15"/>
      <c r="N279" s="15"/>
      <c r="O279" s="15"/>
      <c r="P279" s="15"/>
      <c r="Q279" s="11"/>
      <c r="R279" s="11"/>
      <c r="S279" s="11"/>
      <c r="T279" s="11"/>
      <c r="U279" s="15"/>
      <c r="V279" s="11"/>
      <c r="W279" s="11"/>
      <c r="X279" s="11"/>
      <c r="Y279" s="11"/>
      <c r="Z279" s="11"/>
    </row>
    <row r="280">
      <c r="A280" s="18"/>
      <c r="B280" s="11"/>
      <c r="C280" s="11"/>
      <c r="D280" s="11"/>
      <c r="E280" s="11"/>
      <c r="F280" s="11"/>
      <c r="G280" s="11"/>
      <c r="H280" s="11"/>
      <c r="I280" s="11"/>
      <c r="J280" s="11"/>
      <c r="K280" s="11"/>
      <c r="L280" s="15"/>
      <c r="M280" s="15"/>
      <c r="N280" s="15"/>
      <c r="O280" s="15"/>
      <c r="P280" s="15"/>
      <c r="Q280" s="11"/>
      <c r="R280" s="11"/>
      <c r="S280" s="11"/>
      <c r="T280" s="11"/>
      <c r="U280" s="15"/>
      <c r="V280" s="11"/>
      <c r="W280" s="11"/>
      <c r="X280" s="11"/>
      <c r="Y280" s="11"/>
      <c r="Z280" s="11"/>
    </row>
    <row r="281">
      <c r="A281" s="18"/>
      <c r="B281" s="11"/>
      <c r="C281" s="11"/>
      <c r="D281" s="11"/>
      <c r="E281" s="11"/>
      <c r="F281" s="11"/>
      <c r="G281" s="11"/>
      <c r="H281" s="11"/>
      <c r="I281" s="11"/>
      <c r="J281" s="11"/>
      <c r="K281" s="11"/>
      <c r="L281" s="15"/>
      <c r="M281" s="15"/>
      <c r="N281" s="15"/>
      <c r="O281" s="15"/>
      <c r="P281" s="15"/>
      <c r="Q281" s="11"/>
      <c r="R281" s="11"/>
      <c r="S281" s="11"/>
      <c r="T281" s="11"/>
      <c r="U281" s="15"/>
      <c r="V281" s="11"/>
      <c r="W281" s="11"/>
      <c r="X281" s="11"/>
      <c r="Y281" s="11"/>
      <c r="Z281" s="11"/>
    </row>
    <row r="282">
      <c r="A282" s="18"/>
      <c r="B282" s="11"/>
      <c r="C282" s="11"/>
      <c r="D282" s="11"/>
      <c r="E282" s="11"/>
      <c r="F282" s="11"/>
      <c r="G282" s="11"/>
      <c r="H282" s="11"/>
      <c r="I282" s="11"/>
      <c r="J282" s="11"/>
      <c r="K282" s="11"/>
      <c r="L282" s="15"/>
      <c r="M282" s="15"/>
      <c r="N282" s="15"/>
      <c r="O282" s="15"/>
      <c r="P282" s="15"/>
      <c r="Q282" s="11"/>
      <c r="R282" s="11"/>
      <c r="S282" s="11"/>
      <c r="T282" s="11"/>
      <c r="U282" s="15"/>
      <c r="V282" s="11"/>
      <c r="W282" s="11"/>
      <c r="X282" s="11"/>
      <c r="Y282" s="11"/>
      <c r="Z282" s="11"/>
    </row>
    <row r="283">
      <c r="A283" s="18"/>
      <c r="B283" s="11"/>
      <c r="C283" s="11"/>
      <c r="D283" s="11"/>
      <c r="E283" s="11"/>
      <c r="F283" s="11"/>
      <c r="G283" s="11"/>
      <c r="H283" s="11"/>
      <c r="I283" s="11"/>
      <c r="J283" s="11"/>
      <c r="K283" s="11"/>
      <c r="L283" s="15"/>
      <c r="M283" s="15"/>
      <c r="N283" s="15"/>
      <c r="O283" s="15"/>
      <c r="P283" s="15"/>
      <c r="Q283" s="11"/>
      <c r="R283" s="11"/>
      <c r="S283" s="11"/>
      <c r="T283" s="11"/>
      <c r="U283" s="15"/>
      <c r="V283" s="11"/>
      <c r="W283" s="11"/>
      <c r="X283" s="11"/>
      <c r="Y283" s="11"/>
      <c r="Z283" s="11"/>
    </row>
    <row r="284">
      <c r="A284" s="18"/>
      <c r="B284" s="11"/>
      <c r="C284" s="11"/>
      <c r="D284" s="11"/>
      <c r="E284" s="11"/>
      <c r="F284" s="11"/>
      <c r="G284" s="11"/>
      <c r="H284" s="11"/>
      <c r="I284" s="11"/>
      <c r="J284" s="11"/>
      <c r="K284" s="11"/>
      <c r="L284" s="15"/>
      <c r="M284" s="15"/>
      <c r="N284" s="15"/>
      <c r="O284" s="15"/>
      <c r="P284" s="15"/>
      <c r="Q284" s="11"/>
      <c r="R284" s="11"/>
      <c r="S284" s="11"/>
      <c r="T284" s="11"/>
      <c r="U284" s="15"/>
      <c r="V284" s="11"/>
      <c r="W284" s="11"/>
      <c r="X284" s="11"/>
      <c r="Y284" s="11"/>
      <c r="Z284" s="11"/>
    </row>
    <row r="285">
      <c r="A285" s="18"/>
      <c r="B285" s="11"/>
      <c r="C285" s="11"/>
      <c r="D285" s="11"/>
      <c r="E285" s="11"/>
      <c r="F285" s="11"/>
      <c r="G285" s="11"/>
      <c r="H285" s="11"/>
      <c r="I285" s="11"/>
      <c r="J285" s="11"/>
      <c r="K285" s="11"/>
      <c r="L285" s="15"/>
      <c r="M285" s="15"/>
      <c r="N285" s="15"/>
      <c r="O285" s="15"/>
      <c r="P285" s="15"/>
      <c r="Q285" s="11"/>
      <c r="R285" s="11"/>
      <c r="S285" s="11"/>
      <c r="T285" s="11"/>
      <c r="U285" s="15"/>
      <c r="V285" s="11"/>
      <c r="W285" s="11"/>
      <c r="X285" s="11"/>
      <c r="Y285" s="11"/>
      <c r="Z285" s="11"/>
    </row>
    <row r="286">
      <c r="A286" s="18"/>
      <c r="B286" s="11"/>
      <c r="C286" s="11"/>
      <c r="D286" s="11"/>
      <c r="E286" s="11"/>
      <c r="F286" s="11"/>
      <c r="G286" s="11"/>
      <c r="H286" s="11"/>
      <c r="I286" s="11"/>
      <c r="J286" s="11"/>
      <c r="K286" s="11"/>
      <c r="L286" s="15"/>
      <c r="M286" s="15"/>
      <c r="N286" s="15"/>
      <c r="O286" s="15"/>
      <c r="P286" s="15"/>
      <c r="Q286" s="11"/>
      <c r="R286" s="11"/>
      <c r="S286" s="11"/>
      <c r="T286" s="11"/>
      <c r="U286" s="15"/>
      <c r="V286" s="11"/>
      <c r="W286" s="11"/>
      <c r="X286" s="11"/>
      <c r="Y286" s="11"/>
      <c r="Z286" s="11"/>
    </row>
    <row r="287">
      <c r="A287" s="18"/>
      <c r="B287" s="11"/>
      <c r="C287" s="11"/>
      <c r="D287" s="11"/>
      <c r="E287" s="11"/>
      <c r="F287" s="11"/>
      <c r="G287" s="11"/>
      <c r="H287" s="11"/>
      <c r="I287" s="11"/>
      <c r="J287" s="11"/>
      <c r="K287" s="11"/>
      <c r="L287" s="15"/>
      <c r="M287" s="15"/>
      <c r="N287" s="15"/>
      <c r="O287" s="15"/>
      <c r="P287" s="15"/>
      <c r="Q287" s="11"/>
      <c r="R287" s="11"/>
      <c r="S287" s="11"/>
      <c r="T287" s="11"/>
      <c r="U287" s="15"/>
      <c r="V287" s="11"/>
      <c r="W287" s="11"/>
      <c r="X287" s="11"/>
      <c r="Y287" s="11"/>
      <c r="Z287" s="11"/>
    </row>
    <row r="288">
      <c r="A288" s="18"/>
      <c r="B288" s="11"/>
      <c r="C288" s="11"/>
      <c r="D288" s="11"/>
      <c r="E288" s="11"/>
      <c r="F288" s="11"/>
      <c r="G288" s="11"/>
      <c r="H288" s="11"/>
      <c r="I288" s="11"/>
      <c r="J288" s="11"/>
      <c r="K288" s="11"/>
      <c r="L288" s="15"/>
      <c r="M288" s="15"/>
      <c r="N288" s="15"/>
      <c r="O288" s="15"/>
      <c r="P288" s="15"/>
      <c r="Q288" s="11"/>
      <c r="R288" s="11"/>
      <c r="S288" s="11"/>
      <c r="T288" s="11"/>
      <c r="U288" s="15"/>
      <c r="V288" s="11"/>
      <c r="W288" s="11"/>
      <c r="X288" s="11"/>
      <c r="Y288" s="11"/>
      <c r="Z288" s="11"/>
    </row>
    <row r="289">
      <c r="A289" s="18"/>
      <c r="B289" s="11"/>
      <c r="C289" s="11"/>
      <c r="D289" s="11"/>
      <c r="E289" s="11"/>
      <c r="F289" s="11"/>
      <c r="G289" s="11"/>
      <c r="H289" s="11"/>
      <c r="I289" s="11"/>
      <c r="J289" s="11"/>
      <c r="K289" s="11"/>
      <c r="L289" s="15"/>
      <c r="M289" s="15"/>
      <c r="N289" s="15"/>
      <c r="O289" s="15"/>
      <c r="P289" s="15"/>
      <c r="Q289" s="11"/>
      <c r="R289" s="11"/>
      <c r="S289" s="11"/>
      <c r="T289" s="11"/>
      <c r="U289" s="15"/>
      <c r="V289" s="11"/>
      <c r="W289" s="11"/>
      <c r="X289" s="11"/>
      <c r="Y289" s="11"/>
      <c r="Z289" s="11"/>
    </row>
    <row r="290">
      <c r="A290" s="18"/>
      <c r="B290" s="11"/>
      <c r="C290" s="11"/>
      <c r="D290" s="11"/>
      <c r="E290" s="11"/>
      <c r="F290" s="11"/>
      <c r="G290" s="11"/>
      <c r="H290" s="11"/>
      <c r="I290" s="11"/>
      <c r="J290" s="11"/>
      <c r="K290" s="11"/>
      <c r="L290" s="15"/>
      <c r="M290" s="15"/>
      <c r="N290" s="15"/>
      <c r="O290" s="15"/>
      <c r="P290" s="15"/>
      <c r="Q290" s="11"/>
      <c r="R290" s="11"/>
      <c r="S290" s="11"/>
      <c r="T290" s="11"/>
      <c r="U290" s="15"/>
      <c r="V290" s="11"/>
      <c r="W290" s="11"/>
      <c r="X290" s="11"/>
      <c r="Y290" s="11"/>
      <c r="Z290" s="11"/>
    </row>
    <row r="291">
      <c r="A291" s="18"/>
      <c r="B291" s="11"/>
      <c r="C291" s="11"/>
      <c r="D291" s="11"/>
      <c r="E291" s="11"/>
      <c r="F291" s="11"/>
      <c r="G291" s="11"/>
      <c r="H291" s="11"/>
      <c r="I291" s="11"/>
      <c r="J291" s="11"/>
      <c r="K291" s="11"/>
      <c r="L291" s="15"/>
      <c r="M291" s="15"/>
      <c r="N291" s="15"/>
      <c r="O291" s="15"/>
      <c r="P291" s="15"/>
      <c r="Q291" s="11"/>
      <c r="R291" s="11"/>
      <c r="S291" s="11"/>
      <c r="T291" s="11"/>
      <c r="U291" s="15"/>
      <c r="V291" s="11"/>
      <c r="W291" s="11"/>
      <c r="X291" s="11"/>
      <c r="Y291" s="11"/>
      <c r="Z291" s="11"/>
    </row>
    <row r="292">
      <c r="A292" s="18"/>
      <c r="B292" s="11"/>
      <c r="C292" s="11"/>
      <c r="D292" s="11"/>
      <c r="E292" s="11"/>
      <c r="F292" s="11"/>
      <c r="G292" s="11"/>
      <c r="H292" s="11"/>
      <c r="I292" s="11"/>
      <c r="J292" s="11"/>
      <c r="K292" s="11"/>
      <c r="L292" s="15"/>
      <c r="M292" s="15"/>
      <c r="N292" s="15"/>
      <c r="O292" s="15"/>
      <c r="P292" s="15"/>
      <c r="Q292" s="11"/>
      <c r="R292" s="11"/>
      <c r="S292" s="11"/>
      <c r="T292" s="11"/>
      <c r="U292" s="15"/>
      <c r="V292" s="11"/>
      <c r="W292" s="11"/>
      <c r="X292" s="11"/>
      <c r="Y292" s="11"/>
      <c r="Z292" s="11"/>
    </row>
    <row r="293">
      <c r="A293" s="18"/>
      <c r="B293" s="11"/>
      <c r="C293" s="11"/>
      <c r="D293" s="11"/>
      <c r="E293" s="11"/>
      <c r="F293" s="11"/>
      <c r="G293" s="11"/>
      <c r="H293" s="11"/>
      <c r="I293" s="11"/>
      <c r="J293" s="11"/>
      <c r="K293" s="11"/>
      <c r="L293" s="15"/>
      <c r="M293" s="15"/>
      <c r="N293" s="15"/>
      <c r="O293" s="15"/>
      <c r="P293" s="15"/>
      <c r="Q293" s="11"/>
      <c r="R293" s="11"/>
      <c r="S293" s="11"/>
      <c r="T293" s="11"/>
      <c r="U293" s="15"/>
      <c r="V293" s="11"/>
      <c r="W293" s="11"/>
      <c r="X293" s="11"/>
      <c r="Y293" s="11"/>
      <c r="Z293" s="11"/>
    </row>
    <row r="294">
      <c r="A294" s="18"/>
      <c r="B294" s="11"/>
      <c r="C294" s="11"/>
      <c r="D294" s="11"/>
      <c r="E294" s="11"/>
      <c r="F294" s="11"/>
      <c r="G294" s="11"/>
      <c r="H294" s="11"/>
      <c r="I294" s="11"/>
      <c r="J294" s="11"/>
      <c r="K294" s="11"/>
      <c r="L294" s="15"/>
      <c r="M294" s="15"/>
      <c r="N294" s="15"/>
      <c r="O294" s="15"/>
      <c r="P294" s="15"/>
      <c r="Q294" s="11"/>
      <c r="R294" s="11"/>
      <c r="S294" s="11"/>
      <c r="T294" s="11"/>
      <c r="U294" s="15"/>
      <c r="V294" s="11"/>
      <c r="W294" s="11"/>
      <c r="X294" s="11"/>
      <c r="Y294" s="11"/>
      <c r="Z294" s="11"/>
    </row>
    <row r="295">
      <c r="A295" s="18"/>
      <c r="B295" s="11"/>
      <c r="C295" s="11"/>
      <c r="D295" s="11"/>
      <c r="E295" s="11"/>
      <c r="F295" s="11"/>
      <c r="G295" s="11"/>
      <c r="H295" s="11"/>
      <c r="I295" s="11"/>
      <c r="J295" s="11"/>
      <c r="K295" s="11"/>
      <c r="L295" s="15"/>
      <c r="M295" s="15"/>
      <c r="N295" s="15"/>
      <c r="O295" s="15"/>
      <c r="P295" s="15"/>
      <c r="Q295" s="11"/>
      <c r="R295" s="11"/>
      <c r="S295" s="11"/>
      <c r="T295" s="11"/>
      <c r="U295" s="15"/>
      <c r="V295" s="11"/>
      <c r="W295" s="11"/>
      <c r="X295" s="11"/>
      <c r="Y295" s="11"/>
      <c r="Z295" s="11"/>
    </row>
    <row r="296">
      <c r="A296" s="18"/>
      <c r="B296" s="11"/>
      <c r="C296" s="11"/>
      <c r="D296" s="11"/>
      <c r="E296" s="11"/>
      <c r="F296" s="11"/>
      <c r="G296" s="11"/>
      <c r="H296" s="11"/>
      <c r="I296" s="11"/>
      <c r="J296" s="11"/>
      <c r="K296" s="11"/>
      <c r="L296" s="15"/>
      <c r="M296" s="15"/>
      <c r="N296" s="15"/>
      <c r="O296" s="15"/>
      <c r="P296" s="15"/>
      <c r="Q296" s="11"/>
      <c r="R296" s="11"/>
      <c r="S296" s="11"/>
      <c r="T296" s="11"/>
      <c r="U296" s="15"/>
      <c r="V296" s="11"/>
      <c r="W296" s="11"/>
      <c r="X296" s="11"/>
      <c r="Y296" s="11"/>
      <c r="Z296" s="11"/>
    </row>
    <row r="297">
      <c r="A297" s="18"/>
      <c r="B297" s="11"/>
      <c r="C297" s="11"/>
      <c r="D297" s="11"/>
      <c r="E297" s="11"/>
      <c r="F297" s="11"/>
      <c r="G297" s="11"/>
      <c r="H297" s="11"/>
      <c r="I297" s="11"/>
      <c r="J297" s="11"/>
      <c r="K297" s="11"/>
      <c r="L297" s="15"/>
      <c r="M297" s="15"/>
      <c r="N297" s="15"/>
      <c r="O297" s="15"/>
      <c r="P297" s="15"/>
      <c r="Q297" s="11"/>
      <c r="R297" s="11"/>
      <c r="S297" s="11"/>
      <c r="T297" s="11"/>
      <c r="U297" s="15"/>
      <c r="V297" s="11"/>
      <c r="W297" s="11"/>
      <c r="X297" s="11"/>
      <c r="Y297" s="11"/>
      <c r="Z297" s="11"/>
    </row>
    <row r="298">
      <c r="A298" s="18"/>
      <c r="B298" s="11"/>
      <c r="C298" s="11"/>
      <c r="D298" s="11"/>
      <c r="E298" s="11"/>
      <c r="F298" s="11"/>
      <c r="G298" s="11"/>
      <c r="H298" s="11"/>
      <c r="I298" s="11"/>
      <c r="J298" s="11"/>
      <c r="K298" s="11"/>
      <c r="L298" s="15"/>
      <c r="M298" s="15"/>
      <c r="N298" s="15"/>
      <c r="O298" s="15"/>
      <c r="P298" s="15"/>
      <c r="Q298" s="11"/>
      <c r="R298" s="11"/>
      <c r="S298" s="11"/>
      <c r="T298" s="11"/>
      <c r="U298" s="15"/>
      <c r="V298" s="11"/>
      <c r="W298" s="11"/>
      <c r="X298" s="11"/>
      <c r="Y298" s="11"/>
      <c r="Z298" s="11"/>
    </row>
    <row r="299">
      <c r="A299" s="18"/>
      <c r="B299" s="11"/>
      <c r="C299" s="11"/>
      <c r="D299" s="11"/>
      <c r="E299" s="11"/>
      <c r="F299" s="11"/>
      <c r="G299" s="11"/>
      <c r="H299" s="11"/>
      <c r="I299" s="11"/>
      <c r="J299" s="11"/>
      <c r="K299" s="11"/>
      <c r="L299" s="15"/>
      <c r="M299" s="15"/>
      <c r="N299" s="15"/>
      <c r="O299" s="15"/>
      <c r="P299" s="15"/>
      <c r="Q299" s="11"/>
      <c r="R299" s="11"/>
      <c r="S299" s="11"/>
      <c r="T299" s="11"/>
      <c r="U299" s="15"/>
      <c r="V299" s="11"/>
      <c r="W299" s="11"/>
      <c r="X299" s="11"/>
      <c r="Y299" s="11"/>
      <c r="Z299" s="11"/>
    </row>
    <row r="300">
      <c r="A300" s="18"/>
      <c r="B300" s="11"/>
      <c r="C300" s="11"/>
      <c r="D300" s="11"/>
      <c r="E300" s="11"/>
      <c r="F300" s="11"/>
      <c r="G300" s="11"/>
      <c r="H300" s="11"/>
      <c r="I300" s="11"/>
      <c r="J300" s="11"/>
      <c r="K300" s="11"/>
      <c r="L300" s="15"/>
      <c r="M300" s="15"/>
      <c r="N300" s="15"/>
      <c r="O300" s="15"/>
      <c r="P300" s="15"/>
      <c r="Q300" s="11"/>
      <c r="R300" s="11"/>
      <c r="S300" s="11"/>
      <c r="T300" s="11"/>
      <c r="U300" s="15"/>
      <c r="V300" s="11"/>
      <c r="W300" s="11"/>
      <c r="X300" s="11"/>
      <c r="Y300" s="11"/>
      <c r="Z300" s="11"/>
    </row>
    <row r="301">
      <c r="A301" s="18"/>
      <c r="B301" s="11"/>
      <c r="C301" s="11"/>
      <c r="D301" s="11"/>
      <c r="E301" s="11"/>
      <c r="F301" s="11"/>
      <c r="G301" s="11"/>
      <c r="H301" s="11"/>
      <c r="I301" s="11"/>
      <c r="J301" s="11"/>
      <c r="K301" s="11"/>
      <c r="L301" s="15"/>
      <c r="M301" s="15"/>
      <c r="N301" s="15"/>
      <c r="O301" s="15"/>
      <c r="P301" s="15"/>
      <c r="Q301" s="11"/>
      <c r="R301" s="11"/>
      <c r="S301" s="11"/>
      <c r="T301" s="11"/>
      <c r="U301" s="15"/>
      <c r="V301" s="11"/>
      <c r="W301" s="11"/>
      <c r="X301" s="11"/>
      <c r="Y301" s="11"/>
      <c r="Z301" s="11"/>
    </row>
    <row r="302">
      <c r="A302" s="18"/>
      <c r="B302" s="11"/>
      <c r="C302" s="11"/>
      <c r="D302" s="11"/>
      <c r="E302" s="11"/>
      <c r="F302" s="11"/>
      <c r="G302" s="11"/>
      <c r="H302" s="11"/>
      <c r="I302" s="11"/>
      <c r="J302" s="11"/>
      <c r="K302" s="11"/>
      <c r="L302" s="15"/>
      <c r="M302" s="15"/>
      <c r="N302" s="15"/>
      <c r="O302" s="15"/>
      <c r="P302" s="15"/>
      <c r="Q302" s="11"/>
      <c r="R302" s="11"/>
      <c r="S302" s="11"/>
      <c r="T302" s="11"/>
      <c r="U302" s="15"/>
      <c r="V302" s="11"/>
      <c r="W302" s="11"/>
      <c r="X302" s="11"/>
      <c r="Y302" s="11"/>
      <c r="Z302" s="11"/>
    </row>
    <row r="303">
      <c r="A303" s="18"/>
      <c r="B303" s="11"/>
      <c r="C303" s="11"/>
      <c r="D303" s="11"/>
      <c r="E303" s="11"/>
      <c r="F303" s="11"/>
      <c r="G303" s="11"/>
      <c r="H303" s="11"/>
      <c r="I303" s="11"/>
      <c r="J303" s="11"/>
      <c r="K303" s="11"/>
      <c r="L303" s="15"/>
      <c r="M303" s="15"/>
      <c r="N303" s="15"/>
      <c r="O303" s="15"/>
      <c r="P303" s="15"/>
      <c r="Q303" s="11"/>
      <c r="R303" s="11"/>
      <c r="S303" s="11"/>
      <c r="T303" s="11"/>
      <c r="U303" s="15"/>
      <c r="V303" s="11"/>
      <c r="W303" s="11"/>
      <c r="X303" s="11"/>
      <c r="Y303" s="11"/>
      <c r="Z303" s="11"/>
    </row>
    <row r="304">
      <c r="A304" s="18"/>
      <c r="B304" s="11"/>
      <c r="C304" s="11"/>
      <c r="D304" s="11"/>
      <c r="E304" s="11"/>
      <c r="F304" s="11"/>
      <c r="G304" s="11"/>
      <c r="H304" s="11"/>
      <c r="I304" s="11"/>
      <c r="J304" s="11"/>
      <c r="K304" s="11"/>
      <c r="L304" s="15"/>
      <c r="M304" s="15"/>
      <c r="N304" s="15"/>
      <c r="O304" s="15"/>
      <c r="P304" s="15"/>
      <c r="Q304" s="11"/>
      <c r="R304" s="11"/>
      <c r="S304" s="11"/>
      <c r="T304" s="11"/>
      <c r="U304" s="15"/>
      <c r="V304" s="11"/>
      <c r="W304" s="11"/>
      <c r="X304" s="11"/>
      <c r="Y304" s="11"/>
      <c r="Z304" s="11"/>
    </row>
    <row r="305">
      <c r="A305" s="18"/>
      <c r="B305" s="11"/>
      <c r="C305" s="11"/>
      <c r="D305" s="11"/>
      <c r="E305" s="11"/>
      <c r="F305" s="11"/>
      <c r="G305" s="11"/>
      <c r="H305" s="11"/>
      <c r="I305" s="11"/>
      <c r="J305" s="11"/>
      <c r="K305" s="11"/>
      <c r="L305" s="15"/>
      <c r="M305" s="15"/>
      <c r="N305" s="15"/>
      <c r="O305" s="15"/>
      <c r="P305" s="15"/>
      <c r="Q305" s="11"/>
      <c r="R305" s="11"/>
      <c r="S305" s="11"/>
      <c r="T305" s="11"/>
      <c r="U305" s="15"/>
      <c r="V305" s="11"/>
      <c r="W305" s="11"/>
      <c r="X305" s="11"/>
      <c r="Y305" s="11"/>
      <c r="Z305" s="11"/>
    </row>
    <row r="306">
      <c r="A306" s="18"/>
      <c r="B306" s="11"/>
      <c r="C306" s="11"/>
      <c r="D306" s="11"/>
      <c r="E306" s="11"/>
      <c r="F306" s="11"/>
      <c r="G306" s="11"/>
      <c r="H306" s="11"/>
      <c r="I306" s="11"/>
      <c r="J306" s="11"/>
      <c r="K306" s="11"/>
      <c r="L306" s="15"/>
      <c r="M306" s="15"/>
      <c r="N306" s="15"/>
      <c r="O306" s="15"/>
      <c r="P306" s="15"/>
      <c r="Q306" s="11"/>
      <c r="R306" s="11"/>
      <c r="S306" s="11"/>
      <c r="T306" s="11"/>
      <c r="U306" s="15"/>
      <c r="V306" s="11"/>
      <c r="W306" s="11"/>
      <c r="X306" s="11"/>
      <c r="Y306" s="11"/>
      <c r="Z306" s="11"/>
    </row>
    <row r="307">
      <c r="A307" s="18"/>
      <c r="B307" s="11"/>
      <c r="C307" s="11"/>
      <c r="D307" s="11"/>
      <c r="E307" s="11"/>
      <c r="F307" s="11"/>
      <c r="G307" s="11"/>
      <c r="H307" s="11"/>
      <c r="I307" s="11"/>
      <c r="J307" s="11"/>
      <c r="K307" s="11"/>
      <c r="L307" s="15"/>
      <c r="M307" s="15"/>
      <c r="N307" s="15"/>
      <c r="O307" s="15"/>
      <c r="P307" s="15"/>
      <c r="Q307" s="11"/>
      <c r="R307" s="11"/>
      <c r="S307" s="11"/>
      <c r="T307" s="11"/>
      <c r="U307" s="15"/>
      <c r="V307" s="11"/>
      <c r="W307" s="11"/>
      <c r="X307" s="11"/>
      <c r="Y307" s="11"/>
      <c r="Z307" s="11"/>
    </row>
    <row r="308">
      <c r="A308" s="18"/>
      <c r="B308" s="11"/>
      <c r="C308" s="11"/>
      <c r="D308" s="11"/>
      <c r="E308" s="11"/>
      <c r="F308" s="11"/>
      <c r="G308" s="11"/>
      <c r="H308" s="11"/>
      <c r="I308" s="11"/>
      <c r="J308" s="11"/>
      <c r="K308" s="11"/>
      <c r="L308" s="15"/>
      <c r="M308" s="15"/>
      <c r="N308" s="15"/>
      <c r="O308" s="15"/>
      <c r="P308" s="15"/>
      <c r="Q308" s="11"/>
      <c r="R308" s="11"/>
      <c r="S308" s="11"/>
      <c r="T308" s="11"/>
      <c r="U308" s="15"/>
      <c r="V308" s="11"/>
      <c r="W308" s="11"/>
      <c r="X308" s="11"/>
      <c r="Y308" s="11"/>
      <c r="Z308" s="11"/>
    </row>
    <row r="309">
      <c r="A309" s="18"/>
      <c r="B309" s="11"/>
      <c r="C309" s="11"/>
      <c r="D309" s="11"/>
      <c r="E309" s="11"/>
      <c r="F309" s="11"/>
      <c r="G309" s="11"/>
      <c r="H309" s="11"/>
      <c r="I309" s="11"/>
      <c r="J309" s="11"/>
      <c r="K309" s="11"/>
      <c r="L309" s="15"/>
      <c r="M309" s="15"/>
      <c r="N309" s="15"/>
      <c r="O309" s="15"/>
      <c r="P309" s="15"/>
      <c r="Q309" s="11"/>
      <c r="R309" s="11"/>
      <c r="S309" s="11"/>
      <c r="T309" s="11"/>
      <c r="U309" s="15"/>
      <c r="V309" s="11"/>
      <c r="W309" s="11"/>
      <c r="X309" s="11"/>
      <c r="Y309" s="11"/>
      <c r="Z309" s="11"/>
    </row>
    <row r="310">
      <c r="A310" s="18"/>
      <c r="B310" s="11"/>
      <c r="C310" s="11"/>
      <c r="D310" s="11"/>
      <c r="E310" s="11"/>
      <c r="F310" s="11"/>
      <c r="G310" s="11"/>
      <c r="H310" s="11"/>
      <c r="I310" s="11"/>
      <c r="J310" s="11"/>
      <c r="K310" s="11"/>
      <c r="L310" s="15"/>
      <c r="M310" s="15"/>
      <c r="N310" s="15"/>
      <c r="O310" s="15"/>
      <c r="P310" s="15"/>
      <c r="Q310" s="11"/>
      <c r="R310" s="11"/>
      <c r="S310" s="11"/>
      <c r="T310" s="11"/>
      <c r="U310" s="15"/>
      <c r="V310" s="11"/>
      <c r="W310" s="11"/>
      <c r="X310" s="11"/>
      <c r="Y310" s="11"/>
      <c r="Z310" s="11"/>
    </row>
    <row r="311">
      <c r="A311" s="18"/>
      <c r="B311" s="11"/>
      <c r="C311" s="11"/>
      <c r="D311" s="11"/>
      <c r="E311" s="11"/>
      <c r="F311" s="11"/>
      <c r="G311" s="11"/>
      <c r="H311" s="11"/>
      <c r="I311" s="11"/>
      <c r="J311" s="11"/>
      <c r="K311" s="11"/>
      <c r="L311" s="15"/>
      <c r="M311" s="15"/>
      <c r="N311" s="15"/>
      <c r="O311" s="15"/>
      <c r="P311" s="15"/>
      <c r="Q311" s="11"/>
      <c r="R311" s="11"/>
      <c r="S311" s="11"/>
      <c r="T311" s="11"/>
      <c r="U311" s="15"/>
      <c r="V311" s="11"/>
      <c r="W311" s="11"/>
      <c r="X311" s="11"/>
      <c r="Y311" s="11"/>
      <c r="Z311" s="11"/>
    </row>
    <row r="312">
      <c r="A312" s="18"/>
      <c r="B312" s="11"/>
      <c r="C312" s="11"/>
      <c r="D312" s="11"/>
      <c r="E312" s="11"/>
      <c r="F312" s="11"/>
      <c r="G312" s="11"/>
      <c r="H312" s="11"/>
      <c r="I312" s="11"/>
      <c r="J312" s="11"/>
      <c r="K312" s="11"/>
      <c r="L312" s="15"/>
      <c r="M312" s="15"/>
      <c r="N312" s="15"/>
      <c r="O312" s="15"/>
      <c r="P312" s="15"/>
      <c r="Q312" s="11"/>
      <c r="R312" s="11"/>
      <c r="S312" s="11"/>
      <c r="T312" s="11"/>
      <c r="U312" s="15"/>
      <c r="V312" s="11"/>
      <c r="W312" s="11"/>
      <c r="X312" s="11"/>
      <c r="Y312" s="11"/>
      <c r="Z312" s="11"/>
    </row>
    <row r="313">
      <c r="A313" s="18"/>
      <c r="B313" s="11"/>
      <c r="C313" s="11"/>
      <c r="D313" s="11"/>
      <c r="E313" s="11"/>
      <c r="F313" s="11"/>
      <c r="G313" s="11"/>
      <c r="H313" s="11"/>
      <c r="I313" s="11"/>
      <c r="J313" s="11"/>
      <c r="K313" s="11"/>
      <c r="L313" s="15"/>
      <c r="M313" s="15"/>
      <c r="N313" s="15"/>
      <c r="O313" s="15"/>
      <c r="P313" s="15"/>
      <c r="Q313" s="11"/>
      <c r="R313" s="11"/>
      <c r="S313" s="11"/>
      <c r="T313" s="11"/>
      <c r="U313" s="15"/>
      <c r="V313" s="11"/>
      <c r="W313" s="11"/>
      <c r="X313" s="11"/>
      <c r="Y313" s="11"/>
      <c r="Z313" s="11"/>
    </row>
    <row r="314">
      <c r="A314" s="18"/>
      <c r="B314" s="11"/>
      <c r="C314" s="11"/>
      <c r="D314" s="11"/>
      <c r="E314" s="11"/>
      <c r="F314" s="11"/>
      <c r="G314" s="11"/>
      <c r="H314" s="11"/>
      <c r="I314" s="11"/>
      <c r="J314" s="11"/>
      <c r="K314" s="11"/>
      <c r="L314" s="15"/>
      <c r="M314" s="15"/>
      <c r="N314" s="15"/>
      <c r="O314" s="15"/>
      <c r="P314" s="15"/>
      <c r="Q314" s="11"/>
      <c r="R314" s="11"/>
      <c r="S314" s="11"/>
      <c r="T314" s="11"/>
      <c r="U314" s="15"/>
      <c r="V314" s="11"/>
      <c r="W314" s="11"/>
      <c r="X314" s="11"/>
      <c r="Y314" s="11"/>
      <c r="Z314" s="11"/>
    </row>
    <row r="315">
      <c r="A315" s="18"/>
      <c r="B315" s="11"/>
      <c r="C315" s="11"/>
      <c r="D315" s="11"/>
      <c r="E315" s="11"/>
      <c r="F315" s="11"/>
      <c r="G315" s="11"/>
      <c r="H315" s="11"/>
      <c r="I315" s="11"/>
      <c r="J315" s="11"/>
      <c r="K315" s="11"/>
      <c r="L315" s="15"/>
      <c r="M315" s="15"/>
      <c r="N315" s="15"/>
      <c r="O315" s="15"/>
      <c r="P315" s="15"/>
      <c r="Q315" s="11"/>
      <c r="R315" s="11"/>
      <c r="S315" s="11"/>
      <c r="T315" s="11"/>
      <c r="U315" s="15"/>
      <c r="V315" s="11"/>
      <c r="W315" s="11"/>
      <c r="X315" s="11"/>
      <c r="Y315" s="11"/>
      <c r="Z315" s="11"/>
    </row>
    <row r="316">
      <c r="A316" s="18"/>
      <c r="B316" s="11"/>
      <c r="C316" s="11"/>
      <c r="D316" s="11"/>
      <c r="E316" s="11"/>
      <c r="F316" s="11"/>
      <c r="G316" s="11"/>
      <c r="H316" s="11"/>
      <c r="I316" s="11"/>
      <c r="J316" s="11"/>
      <c r="K316" s="11"/>
      <c r="L316" s="15"/>
      <c r="M316" s="15"/>
      <c r="N316" s="15"/>
      <c r="O316" s="15"/>
      <c r="P316" s="15"/>
      <c r="Q316" s="11"/>
      <c r="R316" s="11"/>
      <c r="S316" s="11"/>
      <c r="T316" s="11"/>
      <c r="U316" s="15"/>
      <c r="V316" s="11"/>
      <c r="W316" s="11"/>
      <c r="X316" s="11"/>
      <c r="Y316" s="11"/>
      <c r="Z316" s="11"/>
    </row>
    <row r="317">
      <c r="A317" s="18"/>
      <c r="B317" s="11"/>
      <c r="C317" s="11"/>
      <c r="D317" s="11"/>
      <c r="E317" s="11"/>
      <c r="F317" s="11"/>
      <c r="G317" s="11"/>
      <c r="H317" s="11"/>
      <c r="I317" s="11"/>
      <c r="J317" s="11"/>
      <c r="K317" s="11"/>
      <c r="L317" s="15"/>
      <c r="M317" s="15"/>
      <c r="N317" s="15"/>
      <c r="O317" s="15"/>
      <c r="P317" s="15"/>
      <c r="Q317" s="11"/>
      <c r="R317" s="11"/>
      <c r="S317" s="11"/>
      <c r="T317" s="11"/>
      <c r="U317" s="15"/>
      <c r="V317" s="11"/>
      <c r="W317" s="11"/>
      <c r="X317" s="11"/>
      <c r="Y317" s="11"/>
      <c r="Z317" s="11"/>
    </row>
    <row r="318">
      <c r="A318" s="18"/>
      <c r="B318" s="11"/>
      <c r="C318" s="11"/>
      <c r="D318" s="11"/>
      <c r="E318" s="11"/>
      <c r="F318" s="11"/>
      <c r="G318" s="11"/>
      <c r="H318" s="11"/>
      <c r="I318" s="11"/>
      <c r="J318" s="11"/>
      <c r="K318" s="11"/>
      <c r="L318" s="15"/>
      <c r="M318" s="15"/>
      <c r="N318" s="15"/>
      <c r="O318" s="15"/>
      <c r="P318" s="15"/>
      <c r="Q318" s="11"/>
      <c r="R318" s="11"/>
      <c r="S318" s="11"/>
      <c r="T318" s="11"/>
      <c r="U318" s="15"/>
      <c r="V318" s="11"/>
      <c r="W318" s="11"/>
      <c r="X318" s="11"/>
      <c r="Y318" s="11"/>
      <c r="Z318" s="11"/>
    </row>
    <row r="319">
      <c r="A319" s="18"/>
      <c r="B319" s="11"/>
      <c r="C319" s="11"/>
      <c r="D319" s="11"/>
      <c r="E319" s="11"/>
      <c r="F319" s="11"/>
      <c r="G319" s="11"/>
      <c r="H319" s="11"/>
      <c r="I319" s="11"/>
      <c r="J319" s="11"/>
      <c r="K319" s="11"/>
      <c r="L319" s="15"/>
      <c r="M319" s="15"/>
      <c r="N319" s="15"/>
      <c r="O319" s="15"/>
      <c r="P319" s="15"/>
      <c r="Q319" s="11"/>
      <c r="R319" s="11"/>
      <c r="S319" s="11"/>
      <c r="T319" s="11"/>
      <c r="U319" s="15"/>
      <c r="V319" s="11"/>
      <c r="W319" s="11"/>
      <c r="X319" s="11"/>
      <c r="Y319" s="11"/>
      <c r="Z319" s="11"/>
    </row>
    <row r="320">
      <c r="A320" s="18"/>
      <c r="B320" s="11"/>
      <c r="C320" s="11"/>
      <c r="D320" s="11"/>
      <c r="E320" s="11"/>
      <c r="F320" s="11"/>
      <c r="G320" s="11"/>
      <c r="H320" s="11"/>
      <c r="I320" s="11"/>
      <c r="J320" s="11"/>
      <c r="K320" s="11"/>
      <c r="L320" s="15"/>
      <c r="M320" s="15"/>
      <c r="N320" s="15"/>
      <c r="O320" s="15"/>
      <c r="P320" s="15"/>
      <c r="Q320" s="11"/>
      <c r="R320" s="11"/>
      <c r="S320" s="11"/>
      <c r="T320" s="11"/>
      <c r="U320" s="15"/>
      <c r="V320" s="11"/>
      <c r="W320" s="11"/>
      <c r="X320" s="11"/>
      <c r="Y320" s="11"/>
      <c r="Z320" s="11"/>
    </row>
    <row r="321">
      <c r="A321" s="18"/>
      <c r="B321" s="11"/>
      <c r="C321" s="11"/>
      <c r="D321" s="11"/>
      <c r="E321" s="11"/>
      <c r="F321" s="11"/>
      <c r="G321" s="11"/>
      <c r="H321" s="11"/>
      <c r="I321" s="11"/>
      <c r="J321" s="11"/>
      <c r="K321" s="11"/>
      <c r="L321" s="15"/>
      <c r="M321" s="15"/>
      <c r="N321" s="15"/>
      <c r="O321" s="15"/>
      <c r="P321" s="15"/>
      <c r="Q321" s="11"/>
      <c r="R321" s="11"/>
      <c r="S321" s="11"/>
      <c r="T321" s="11"/>
      <c r="U321" s="15"/>
      <c r="V321" s="11"/>
      <c r="W321" s="11"/>
      <c r="X321" s="11"/>
      <c r="Y321" s="11"/>
      <c r="Z321" s="11"/>
    </row>
    <row r="322">
      <c r="A322" s="18"/>
      <c r="B322" s="11"/>
      <c r="C322" s="11"/>
      <c r="D322" s="11"/>
      <c r="E322" s="11"/>
      <c r="F322" s="11"/>
      <c r="G322" s="11"/>
      <c r="H322" s="11"/>
      <c r="I322" s="11"/>
      <c r="J322" s="11"/>
      <c r="K322" s="11"/>
      <c r="L322" s="15"/>
      <c r="M322" s="15"/>
      <c r="N322" s="15"/>
      <c r="O322" s="15"/>
      <c r="P322" s="15"/>
      <c r="Q322" s="11"/>
      <c r="R322" s="11"/>
      <c r="S322" s="11"/>
      <c r="T322" s="11"/>
      <c r="U322" s="15"/>
      <c r="V322" s="11"/>
      <c r="W322" s="11"/>
      <c r="X322" s="11"/>
      <c r="Y322" s="11"/>
      <c r="Z322" s="11"/>
    </row>
    <row r="323">
      <c r="A323" s="18"/>
      <c r="B323" s="11"/>
      <c r="C323" s="11"/>
      <c r="D323" s="11"/>
      <c r="E323" s="11"/>
      <c r="F323" s="11"/>
      <c r="G323" s="11"/>
      <c r="H323" s="11"/>
      <c r="I323" s="11"/>
      <c r="J323" s="11"/>
      <c r="K323" s="11"/>
      <c r="L323" s="15"/>
      <c r="M323" s="15"/>
      <c r="N323" s="15"/>
      <c r="O323" s="15"/>
      <c r="P323" s="15"/>
      <c r="Q323" s="11"/>
      <c r="R323" s="11"/>
      <c r="S323" s="11"/>
      <c r="T323" s="11"/>
      <c r="U323" s="15"/>
      <c r="V323" s="11"/>
      <c r="W323" s="11"/>
      <c r="X323" s="11"/>
      <c r="Y323" s="11"/>
      <c r="Z323" s="11"/>
    </row>
    <row r="324">
      <c r="A324" s="18"/>
      <c r="B324" s="11"/>
      <c r="C324" s="11"/>
      <c r="D324" s="11"/>
      <c r="E324" s="11"/>
      <c r="F324" s="11"/>
      <c r="G324" s="11"/>
      <c r="H324" s="11"/>
      <c r="I324" s="11"/>
      <c r="J324" s="11"/>
      <c r="K324" s="11"/>
      <c r="L324" s="15"/>
      <c r="M324" s="15"/>
      <c r="N324" s="15"/>
      <c r="O324" s="15"/>
      <c r="P324" s="15"/>
      <c r="Q324" s="11"/>
      <c r="R324" s="11"/>
      <c r="S324" s="11"/>
      <c r="T324" s="11"/>
      <c r="U324" s="15"/>
      <c r="V324" s="11"/>
      <c r="W324" s="11"/>
      <c r="X324" s="11"/>
      <c r="Y324" s="11"/>
      <c r="Z324" s="11"/>
    </row>
    <row r="325">
      <c r="A325" s="18"/>
      <c r="B325" s="11"/>
      <c r="C325" s="11"/>
      <c r="D325" s="11"/>
      <c r="E325" s="11"/>
      <c r="F325" s="11"/>
      <c r="G325" s="11"/>
      <c r="H325" s="11"/>
      <c r="I325" s="11"/>
      <c r="J325" s="11"/>
      <c r="K325" s="11"/>
      <c r="L325" s="15"/>
      <c r="M325" s="15"/>
      <c r="N325" s="15"/>
      <c r="O325" s="15"/>
      <c r="P325" s="15"/>
      <c r="Q325" s="11"/>
      <c r="R325" s="11"/>
      <c r="S325" s="11"/>
      <c r="T325" s="11"/>
      <c r="U325" s="15"/>
      <c r="V325" s="11"/>
      <c r="W325" s="11"/>
      <c r="X325" s="11"/>
      <c r="Y325" s="11"/>
      <c r="Z325" s="11"/>
    </row>
    <row r="326">
      <c r="A326" s="18"/>
      <c r="B326" s="11"/>
      <c r="C326" s="11"/>
      <c r="D326" s="11"/>
      <c r="E326" s="11"/>
      <c r="F326" s="11"/>
      <c r="G326" s="11"/>
      <c r="H326" s="11"/>
      <c r="I326" s="11"/>
      <c r="J326" s="11"/>
      <c r="K326" s="11"/>
      <c r="L326" s="15"/>
      <c r="M326" s="15"/>
      <c r="N326" s="15"/>
      <c r="O326" s="15"/>
      <c r="P326" s="15"/>
      <c r="Q326" s="11"/>
      <c r="R326" s="11"/>
      <c r="S326" s="11"/>
      <c r="T326" s="11"/>
      <c r="U326" s="15"/>
      <c r="V326" s="11"/>
      <c r="W326" s="11"/>
      <c r="X326" s="11"/>
      <c r="Y326" s="11"/>
      <c r="Z326" s="11"/>
    </row>
    <row r="327">
      <c r="A327" s="18"/>
      <c r="B327" s="11"/>
      <c r="C327" s="11"/>
      <c r="D327" s="11"/>
      <c r="E327" s="11"/>
      <c r="F327" s="11"/>
      <c r="G327" s="11"/>
      <c r="H327" s="11"/>
      <c r="I327" s="11"/>
      <c r="J327" s="11"/>
      <c r="K327" s="11"/>
      <c r="L327" s="15"/>
      <c r="M327" s="15"/>
      <c r="N327" s="15"/>
      <c r="O327" s="15"/>
      <c r="P327" s="15"/>
      <c r="Q327" s="11"/>
      <c r="R327" s="11"/>
      <c r="S327" s="11"/>
      <c r="T327" s="11"/>
      <c r="U327" s="15"/>
      <c r="V327" s="11"/>
      <c r="W327" s="11"/>
      <c r="X327" s="11"/>
      <c r="Y327" s="11"/>
      <c r="Z327" s="11"/>
    </row>
    <row r="328">
      <c r="A328" s="18"/>
      <c r="B328" s="11"/>
      <c r="C328" s="11"/>
      <c r="D328" s="11"/>
      <c r="E328" s="11"/>
      <c r="F328" s="11"/>
      <c r="G328" s="11"/>
      <c r="H328" s="11"/>
      <c r="I328" s="11"/>
      <c r="J328" s="11"/>
      <c r="K328" s="11"/>
      <c r="L328" s="15"/>
      <c r="M328" s="15"/>
      <c r="N328" s="15"/>
      <c r="O328" s="15"/>
      <c r="P328" s="15"/>
      <c r="Q328" s="11"/>
      <c r="R328" s="11"/>
      <c r="S328" s="11"/>
      <c r="T328" s="11"/>
      <c r="U328" s="15"/>
      <c r="V328" s="11"/>
      <c r="W328" s="11"/>
      <c r="X328" s="11"/>
      <c r="Y328" s="11"/>
      <c r="Z328" s="11"/>
    </row>
    <row r="329">
      <c r="A329" s="18"/>
      <c r="B329" s="11"/>
      <c r="C329" s="11"/>
      <c r="D329" s="11"/>
      <c r="E329" s="11"/>
      <c r="F329" s="11"/>
      <c r="G329" s="11"/>
      <c r="H329" s="11"/>
      <c r="I329" s="11"/>
      <c r="J329" s="11"/>
      <c r="K329" s="11"/>
      <c r="L329" s="15"/>
      <c r="M329" s="15"/>
      <c r="N329" s="15"/>
      <c r="O329" s="15"/>
      <c r="P329" s="15"/>
      <c r="Q329" s="11"/>
      <c r="R329" s="11"/>
      <c r="S329" s="11"/>
      <c r="T329" s="11"/>
      <c r="U329" s="15"/>
      <c r="V329" s="11"/>
      <c r="W329" s="11"/>
      <c r="X329" s="11"/>
      <c r="Y329" s="11"/>
      <c r="Z329" s="11"/>
    </row>
    <row r="330">
      <c r="A330" s="18"/>
      <c r="B330" s="11"/>
      <c r="C330" s="11"/>
      <c r="D330" s="11"/>
      <c r="E330" s="11"/>
      <c r="F330" s="11"/>
      <c r="G330" s="11"/>
      <c r="H330" s="11"/>
      <c r="I330" s="11"/>
      <c r="J330" s="11"/>
      <c r="K330" s="11"/>
      <c r="L330" s="15"/>
      <c r="M330" s="15"/>
      <c r="N330" s="15"/>
      <c r="O330" s="15"/>
      <c r="P330" s="15"/>
      <c r="Q330" s="11"/>
      <c r="R330" s="11"/>
      <c r="S330" s="11"/>
      <c r="T330" s="11"/>
      <c r="U330" s="15"/>
      <c r="V330" s="11"/>
      <c r="W330" s="11"/>
      <c r="X330" s="11"/>
      <c r="Y330" s="11"/>
      <c r="Z330" s="11"/>
    </row>
    <row r="331">
      <c r="A331" s="18"/>
      <c r="B331" s="11"/>
      <c r="C331" s="11"/>
      <c r="D331" s="11"/>
      <c r="E331" s="11"/>
      <c r="F331" s="11"/>
      <c r="G331" s="11"/>
      <c r="H331" s="11"/>
      <c r="I331" s="11"/>
      <c r="J331" s="11"/>
      <c r="K331" s="11"/>
      <c r="L331" s="15"/>
      <c r="M331" s="15"/>
      <c r="N331" s="15"/>
      <c r="O331" s="15"/>
      <c r="P331" s="15"/>
      <c r="Q331" s="11"/>
      <c r="R331" s="11"/>
      <c r="S331" s="11"/>
      <c r="T331" s="11"/>
      <c r="U331" s="15"/>
      <c r="V331" s="11"/>
      <c r="W331" s="11"/>
      <c r="X331" s="11"/>
      <c r="Y331" s="11"/>
      <c r="Z331" s="11"/>
    </row>
    <row r="332">
      <c r="A332" s="18"/>
      <c r="B332" s="11"/>
      <c r="C332" s="11"/>
      <c r="D332" s="11"/>
      <c r="E332" s="11"/>
      <c r="F332" s="11"/>
      <c r="G332" s="11"/>
      <c r="H332" s="11"/>
      <c r="I332" s="11"/>
      <c r="J332" s="11"/>
      <c r="K332" s="11"/>
      <c r="L332" s="15"/>
      <c r="M332" s="15"/>
      <c r="N332" s="15"/>
      <c r="O332" s="15"/>
      <c r="P332" s="15"/>
      <c r="Q332" s="11"/>
      <c r="R332" s="11"/>
      <c r="S332" s="11"/>
      <c r="T332" s="11"/>
      <c r="U332" s="15"/>
      <c r="V332" s="11"/>
      <c r="W332" s="11"/>
      <c r="X332" s="11"/>
      <c r="Y332" s="11"/>
      <c r="Z332" s="11"/>
    </row>
    <row r="333">
      <c r="A333" s="18"/>
      <c r="B333" s="11"/>
      <c r="C333" s="11"/>
      <c r="D333" s="11"/>
      <c r="E333" s="11"/>
      <c r="F333" s="11"/>
      <c r="G333" s="11"/>
      <c r="H333" s="11"/>
      <c r="I333" s="11"/>
      <c r="J333" s="11"/>
      <c r="K333" s="11"/>
      <c r="L333" s="15"/>
      <c r="M333" s="15"/>
      <c r="N333" s="15"/>
      <c r="O333" s="15"/>
      <c r="P333" s="15"/>
      <c r="Q333" s="11"/>
      <c r="R333" s="11"/>
      <c r="S333" s="11"/>
      <c r="T333" s="11"/>
      <c r="U333" s="15"/>
      <c r="V333" s="11"/>
      <c r="W333" s="11"/>
      <c r="X333" s="11"/>
      <c r="Y333" s="11"/>
      <c r="Z333" s="11"/>
    </row>
    <row r="334">
      <c r="A334" s="18"/>
      <c r="B334" s="11"/>
      <c r="C334" s="11"/>
      <c r="D334" s="11"/>
      <c r="E334" s="11"/>
      <c r="F334" s="11"/>
      <c r="G334" s="11"/>
      <c r="H334" s="11"/>
      <c r="I334" s="11"/>
      <c r="J334" s="11"/>
      <c r="K334" s="11"/>
      <c r="L334" s="15"/>
      <c r="M334" s="15"/>
      <c r="N334" s="15"/>
      <c r="O334" s="15"/>
      <c r="P334" s="15"/>
      <c r="Q334" s="11"/>
      <c r="R334" s="11"/>
      <c r="S334" s="11"/>
      <c r="T334" s="11"/>
      <c r="U334" s="15"/>
      <c r="V334" s="11"/>
      <c r="W334" s="11"/>
      <c r="X334" s="11"/>
      <c r="Y334" s="11"/>
      <c r="Z334" s="11"/>
    </row>
    <row r="335">
      <c r="A335" s="18"/>
      <c r="B335" s="11"/>
      <c r="C335" s="11"/>
      <c r="D335" s="11"/>
      <c r="E335" s="11"/>
      <c r="F335" s="11"/>
      <c r="G335" s="11"/>
      <c r="H335" s="11"/>
      <c r="I335" s="11"/>
      <c r="J335" s="11"/>
      <c r="K335" s="11"/>
      <c r="L335" s="15"/>
      <c r="M335" s="15"/>
      <c r="N335" s="15"/>
      <c r="O335" s="15"/>
      <c r="P335" s="15"/>
      <c r="Q335" s="11"/>
      <c r="R335" s="11"/>
      <c r="S335" s="11"/>
      <c r="T335" s="11"/>
      <c r="U335" s="15"/>
      <c r="V335" s="11"/>
      <c r="W335" s="11"/>
      <c r="X335" s="11"/>
      <c r="Y335" s="11"/>
      <c r="Z335" s="11"/>
    </row>
    <row r="336">
      <c r="A336" s="18"/>
      <c r="B336" s="11"/>
      <c r="C336" s="11"/>
      <c r="D336" s="11"/>
      <c r="E336" s="11"/>
      <c r="F336" s="11"/>
      <c r="G336" s="11"/>
      <c r="H336" s="11"/>
      <c r="I336" s="11"/>
      <c r="J336" s="11"/>
      <c r="K336" s="11"/>
      <c r="L336" s="15"/>
      <c r="M336" s="15"/>
      <c r="N336" s="15"/>
      <c r="O336" s="15"/>
      <c r="P336" s="15"/>
      <c r="Q336" s="11"/>
      <c r="R336" s="11"/>
      <c r="S336" s="11"/>
      <c r="T336" s="11"/>
      <c r="U336" s="15"/>
      <c r="V336" s="11"/>
      <c r="W336" s="11"/>
      <c r="X336" s="11"/>
      <c r="Y336" s="11"/>
      <c r="Z336" s="11"/>
    </row>
    <row r="337">
      <c r="A337" s="18"/>
      <c r="B337" s="11"/>
      <c r="C337" s="11"/>
      <c r="D337" s="11"/>
      <c r="E337" s="11"/>
      <c r="F337" s="11"/>
      <c r="G337" s="11"/>
      <c r="H337" s="11"/>
      <c r="I337" s="11"/>
      <c r="J337" s="11"/>
      <c r="K337" s="11"/>
      <c r="L337" s="15"/>
      <c r="M337" s="15"/>
      <c r="N337" s="15"/>
      <c r="O337" s="15"/>
      <c r="P337" s="15"/>
      <c r="Q337" s="11"/>
      <c r="R337" s="11"/>
      <c r="S337" s="11"/>
      <c r="T337" s="11"/>
      <c r="U337" s="15"/>
      <c r="V337" s="11"/>
      <c r="W337" s="11"/>
      <c r="X337" s="11"/>
      <c r="Y337" s="11"/>
      <c r="Z337" s="11"/>
    </row>
    <row r="338">
      <c r="A338" s="18"/>
      <c r="B338" s="11"/>
      <c r="C338" s="11"/>
      <c r="D338" s="11"/>
      <c r="E338" s="11"/>
      <c r="F338" s="11"/>
      <c r="G338" s="11"/>
      <c r="H338" s="11"/>
      <c r="I338" s="11"/>
      <c r="J338" s="11"/>
      <c r="K338" s="11"/>
      <c r="L338" s="15"/>
      <c r="M338" s="15"/>
      <c r="N338" s="15"/>
      <c r="O338" s="15"/>
      <c r="P338" s="15"/>
      <c r="Q338" s="11"/>
      <c r="R338" s="11"/>
      <c r="S338" s="11"/>
      <c r="T338" s="11"/>
      <c r="U338" s="15"/>
      <c r="V338" s="11"/>
      <c r="W338" s="11"/>
      <c r="X338" s="11"/>
      <c r="Y338" s="11"/>
      <c r="Z338" s="11"/>
    </row>
    <row r="339">
      <c r="A339" s="18"/>
      <c r="B339" s="11"/>
      <c r="C339" s="11"/>
      <c r="D339" s="11"/>
      <c r="E339" s="11"/>
      <c r="F339" s="11"/>
      <c r="G339" s="11"/>
      <c r="H339" s="11"/>
      <c r="I339" s="11"/>
      <c r="J339" s="11"/>
      <c r="K339" s="11"/>
      <c r="L339" s="15"/>
      <c r="M339" s="15"/>
      <c r="N339" s="15"/>
      <c r="O339" s="15"/>
      <c r="P339" s="15"/>
      <c r="Q339" s="11"/>
      <c r="R339" s="11"/>
      <c r="S339" s="11"/>
      <c r="T339" s="11"/>
      <c r="U339" s="15"/>
      <c r="V339" s="11"/>
      <c r="W339" s="11"/>
      <c r="X339" s="11"/>
      <c r="Y339" s="11"/>
      <c r="Z339" s="11"/>
    </row>
    <row r="340">
      <c r="A340" s="18"/>
      <c r="B340" s="11"/>
      <c r="C340" s="11"/>
      <c r="D340" s="11"/>
      <c r="E340" s="11"/>
      <c r="F340" s="11"/>
      <c r="G340" s="11"/>
      <c r="H340" s="11"/>
      <c r="I340" s="11"/>
      <c r="J340" s="11"/>
      <c r="K340" s="11"/>
      <c r="L340" s="15"/>
      <c r="M340" s="15"/>
      <c r="N340" s="15"/>
      <c r="O340" s="15"/>
      <c r="P340" s="15"/>
      <c r="Q340" s="11"/>
      <c r="R340" s="11"/>
      <c r="S340" s="11"/>
      <c r="T340" s="11"/>
      <c r="U340" s="15"/>
      <c r="V340" s="11"/>
      <c r="W340" s="11"/>
      <c r="X340" s="11"/>
      <c r="Y340" s="11"/>
      <c r="Z340" s="11"/>
    </row>
    <row r="341">
      <c r="A341" s="18"/>
      <c r="B341" s="11"/>
      <c r="C341" s="11"/>
      <c r="D341" s="11"/>
      <c r="E341" s="11"/>
      <c r="F341" s="11"/>
      <c r="G341" s="11"/>
      <c r="H341" s="11"/>
      <c r="I341" s="11"/>
      <c r="J341" s="11"/>
      <c r="K341" s="11"/>
      <c r="L341" s="15"/>
      <c r="M341" s="15"/>
      <c r="N341" s="15"/>
      <c r="O341" s="15"/>
      <c r="P341" s="15"/>
      <c r="Q341" s="11"/>
      <c r="R341" s="11"/>
      <c r="S341" s="11"/>
      <c r="T341" s="11"/>
      <c r="U341" s="15"/>
      <c r="V341" s="11"/>
      <c r="W341" s="11"/>
      <c r="X341" s="11"/>
      <c r="Y341" s="11"/>
      <c r="Z341" s="11"/>
    </row>
    <row r="342">
      <c r="A342" s="18"/>
      <c r="B342" s="11"/>
      <c r="C342" s="11"/>
      <c r="D342" s="11"/>
      <c r="E342" s="11"/>
      <c r="F342" s="11"/>
      <c r="G342" s="11"/>
      <c r="H342" s="11"/>
      <c r="I342" s="11"/>
      <c r="J342" s="11"/>
      <c r="K342" s="11"/>
      <c r="L342" s="15"/>
      <c r="M342" s="15"/>
      <c r="N342" s="15"/>
      <c r="O342" s="15"/>
      <c r="P342" s="15"/>
      <c r="Q342" s="11"/>
      <c r="R342" s="11"/>
      <c r="S342" s="11"/>
      <c r="T342" s="11"/>
      <c r="U342" s="15"/>
      <c r="V342" s="11"/>
      <c r="W342" s="11"/>
      <c r="X342" s="11"/>
      <c r="Y342" s="11"/>
      <c r="Z342" s="11"/>
    </row>
    <row r="343">
      <c r="A343" s="18"/>
      <c r="B343" s="11"/>
      <c r="C343" s="11"/>
      <c r="D343" s="11"/>
      <c r="E343" s="11"/>
      <c r="F343" s="11"/>
      <c r="G343" s="11"/>
      <c r="H343" s="11"/>
      <c r="I343" s="11"/>
      <c r="J343" s="11"/>
      <c r="K343" s="11"/>
      <c r="L343" s="15"/>
      <c r="M343" s="15"/>
      <c r="N343" s="15"/>
      <c r="O343" s="15"/>
      <c r="P343" s="15"/>
      <c r="Q343" s="11"/>
      <c r="R343" s="11"/>
      <c r="S343" s="11"/>
      <c r="T343" s="11"/>
      <c r="U343" s="15"/>
      <c r="V343" s="11"/>
      <c r="W343" s="11"/>
      <c r="X343" s="11"/>
      <c r="Y343" s="11"/>
      <c r="Z343" s="11"/>
    </row>
    <row r="344">
      <c r="A344" s="18"/>
      <c r="B344" s="11"/>
      <c r="C344" s="11"/>
      <c r="D344" s="11"/>
      <c r="E344" s="11"/>
      <c r="F344" s="11"/>
      <c r="G344" s="11"/>
      <c r="H344" s="11"/>
      <c r="I344" s="11"/>
      <c r="J344" s="11"/>
      <c r="K344" s="11"/>
      <c r="L344" s="15"/>
      <c r="M344" s="15"/>
      <c r="N344" s="15"/>
      <c r="O344" s="15"/>
      <c r="P344" s="15"/>
      <c r="Q344" s="11"/>
      <c r="R344" s="11"/>
      <c r="S344" s="11"/>
      <c r="T344" s="11"/>
      <c r="U344" s="15"/>
      <c r="V344" s="11"/>
      <c r="W344" s="11"/>
      <c r="X344" s="11"/>
      <c r="Y344" s="11"/>
      <c r="Z344" s="11"/>
    </row>
    <row r="345">
      <c r="A345" s="18"/>
      <c r="B345" s="11"/>
      <c r="C345" s="11"/>
      <c r="D345" s="11"/>
      <c r="E345" s="11"/>
      <c r="F345" s="11"/>
      <c r="G345" s="11"/>
      <c r="H345" s="11"/>
      <c r="I345" s="11"/>
      <c r="J345" s="11"/>
      <c r="K345" s="11"/>
      <c r="L345" s="15"/>
      <c r="M345" s="15"/>
      <c r="N345" s="15"/>
      <c r="O345" s="15"/>
      <c r="P345" s="15"/>
      <c r="Q345" s="11"/>
      <c r="R345" s="11"/>
      <c r="S345" s="11"/>
      <c r="T345" s="11"/>
      <c r="U345" s="15"/>
      <c r="V345" s="11"/>
      <c r="W345" s="11"/>
      <c r="X345" s="11"/>
      <c r="Y345" s="11"/>
      <c r="Z345" s="11"/>
    </row>
    <row r="346">
      <c r="A346" s="18"/>
      <c r="B346" s="11"/>
      <c r="C346" s="11"/>
      <c r="D346" s="11"/>
      <c r="E346" s="11"/>
      <c r="F346" s="11"/>
      <c r="G346" s="11"/>
      <c r="H346" s="11"/>
      <c r="I346" s="11"/>
      <c r="J346" s="11"/>
      <c r="K346" s="11"/>
      <c r="L346" s="15"/>
      <c r="M346" s="15"/>
      <c r="N346" s="15"/>
      <c r="O346" s="15"/>
      <c r="P346" s="15"/>
      <c r="Q346" s="11"/>
      <c r="R346" s="11"/>
      <c r="S346" s="11"/>
      <c r="T346" s="11"/>
      <c r="U346" s="15"/>
      <c r="V346" s="11"/>
      <c r="W346" s="11"/>
      <c r="X346" s="11"/>
      <c r="Y346" s="11"/>
      <c r="Z346" s="11"/>
    </row>
    <row r="347">
      <c r="A347" s="18"/>
      <c r="B347" s="11"/>
      <c r="C347" s="11"/>
      <c r="D347" s="11"/>
      <c r="E347" s="11"/>
      <c r="F347" s="11"/>
      <c r="G347" s="11"/>
      <c r="H347" s="11"/>
      <c r="I347" s="11"/>
      <c r="J347" s="11"/>
      <c r="K347" s="11"/>
      <c r="L347" s="15"/>
      <c r="M347" s="15"/>
      <c r="N347" s="15"/>
      <c r="O347" s="15"/>
      <c r="P347" s="15"/>
      <c r="Q347" s="11"/>
      <c r="R347" s="11"/>
      <c r="S347" s="11"/>
      <c r="T347" s="11"/>
      <c r="U347" s="15"/>
      <c r="V347" s="11"/>
      <c r="W347" s="11"/>
      <c r="X347" s="11"/>
      <c r="Y347" s="11"/>
      <c r="Z347" s="11"/>
    </row>
    <row r="348">
      <c r="A348" s="18"/>
      <c r="B348" s="11"/>
      <c r="C348" s="11"/>
      <c r="D348" s="11"/>
      <c r="E348" s="11"/>
      <c r="F348" s="11"/>
      <c r="G348" s="11"/>
      <c r="H348" s="11"/>
      <c r="I348" s="11"/>
      <c r="J348" s="11"/>
      <c r="K348" s="11"/>
      <c r="L348" s="15"/>
      <c r="M348" s="15"/>
      <c r="N348" s="15"/>
      <c r="O348" s="15"/>
      <c r="P348" s="15"/>
      <c r="Q348" s="11"/>
      <c r="R348" s="11"/>
      <c r="S348" s="11"/>
      <c r="T348" s="11"/>
      <c r="U348" s="15"/>
      <c r="V348" s="11"/>
      <c r="W348" s="11"/>
      <c r="X348" s="11"/>
      <c r="Y348" s="11"/>
      <c r="Z348" s="11"/>
    </row>
    <row r="349">
      <c r="A349" s="18"/>
      <c r="B349" s="11"/>
      <c r="C349" s="11"/>
      <c r="D349" s="11"/>
      <c r="E349" s="11"/>
      <c r="F349" s="11"/>
      <c r="G349" s="11"/>
      <c r="H349" s="11"/>
      <c r="I349" s="11"/>
      <c r="J349" s="11"/>
      <c r="K349" s="11"/>
      <c r="L349" s="15"/>
      <c r="M349" s="15"/>
      <c r="N349" s="15"/>
      <c r="O349" s="15"/>
      <c r="P349" s="15"/>
      <c r="Q349" s="11"/>
      <c r="R349" s="11"/>
      <c r="S349" s="11"/>
      <c r="T349" s="11"/>
      <c r="U349" s="15"/>
      <c r="V349" s="11"/>
      <c r="W349" s="11"/>
      <c r="X349" s="11"/>
      <c r="Y349" s="11"/>
      <c r="Z349" s="11"/>
    </row>
    <row r="350">
      <c r="A350" s="18"/>
      <c r="B350" s="11"/>
      <c r="C350" s="11"/>
      <c r="D350" s="11"/>
      <c r="E350" s="11"/>
      <c r="F350" s="11"/>
      <c r="G350" s="11"/>
      <c r="H350" s="11"/>
      <c r="I350" s="11"/>
      <c r="J350" s="11"/>
      <c r="K350" s="11"/>
      <c r="L350" s="15"/>
      <c r="M350" s="15"/>
      <c r="N350" s="15"/>
      <c r="O350" s="15"/>
      <c r="P350" s="15"/>
      <c r="Q350" s="11"/>
      <c r="R350" s="11"/>
      <c r="S350" s="11"/>
      <c r="T350" s="11"/>
      <c r="U350" s="15"/>
      <c r="V350" s="11"/>
      <c r="W350" s="11"/>
      <c r="X350" s="11"/>
      <c r="Y350" s="11"/>
      <c r="Z350" s="11"/>
    </row>
    <row r="351">
      <c r="A351" s="18"/>
      <c r="B351" s="11"/>
      <c r="C351" s="11"/>
      <c r="D351" s="11"/>
      <c r="E351" s="11"/>
      <c r="F351" s="11"/>
      <c r="G351" s="11"/>
      <c r="H351" s="11"/>
      <c r="I351" s="11"/>
      <c r="J351" s="11"/>
      <c r="K351" s="11"/>
      <c r="L351" s="15"/>
      <c r="M351" s="15"/>
      <c r="N351" s="15"/>
      <c r="O351" s="15"/>
      <c r="P351" s="15"/>
      <c r="Q351" s="11"/>
      <c r="R351" s="11"/>
      <c r="S351" s="11"/>
      <c r="T351" s="11"/>
      <c r="U351" s="15"/>
      <c r="V351" s="11"/>
      <c r="W351" s="11"/>
      <c r="X351" s="11"/>
      <c r="Y351" s="11"/>
      <c r="Z351" s="11"/>
    </row>
    <row r="352">
      <c r="A352" s="18"/>
      <c r="B352" s="11"/>
      <c r="C352" s="11"/>
      <c r="D352" s="11"/>
      <c r="E352" s="11"/>
      <c r="F352" s="11"/>
      <c r="G352" s="11"/>
      <c r="H352" s="11"/>
      <c r="I352" s="11"/>
      <c r="J352" s="11"/>
      <c r="K352" s="11"/>
      <c r="L352" s="15"/>
      <c r="M352" s="15"/>
      <c r="N352" s="15"/>
      <c r="O352" s="15"/>
      <c r="P352" s="15"/>
      <c r="Q352" s="11"/>
      <c r="R352" s="11"/>
      <c r="S352" s="11"/>
      <c r="T352" s="11"/>
      <c r="U352" s="15"/>
      <c r="V352" s="11"/>
      <c r="W352" s="11"/>
      <c r="X352" s="11"/>
      <c r="Y352" s="11"/>
      <c r="Z352" s="11"/>
    </row>
    <row r="353">
      <c r="A353" s="18"/>
      <c r="B353" s="11"/>
      <c r="C353" s="11"/>
      <c r="D353" s="11"/>
      <c r="E353" s="11"/>
      <c r="F353" s="11"/>
      <c r="G353" s="11"/>
      <c r="H353" s="11"/>
      <c r="I353" s="11"/>
      <c r="J353" s="11"/>
      <c r="K353" s="11"/>
      <c r="L353" s="15"/>
      <c r="M353" s="15"/>
      <c r="N353" s="15"/>
      <c r="O353" s="15"/>
      <c r="P353" s="15"/>
      <c r="Q353" s="11"/>
      <c r="R353" s="11"/>
      <c r="S353" s="11"/>
      <c r="T353" s="11"/>
      <c r="U353" s="15"/>
      <c r="V353" s="11"/>
      <c r="W353" s="11"/>
      <c r="X353" s="11"/>
      <c r="Y353" s="11"/>
      <c r="Z353" s="11"/>
    </row>
    <row r="354">
      <c r="A354" s="18"/>
      <c r="B354" s="11"/>
      <c r="C354" s="11"/>
      <c r="D354" s="11"/>
      <c r="E354" s="11"/>
      <c r="F354" s="11"/>
      <c r="G354" s="11"/>
      <c r="H354" s="11"/>
      <c r="I354" s="11"/>
      <c r="J354" s="11"/>
      <c r="K354" s="11"/>
      <c r="L354" s="15"/>
      <c r="M354" s="15"/>
      <c r="N354" s="15"/>
      <c r="O354" s="15"/>
      <c r="P354" s="15"/>
      <c r="Q354" s="11"/>
      <c r="R354" s="11"/>
      <c r="S354" s="11"/>
      <c r="T354" s="11"/>
      <c r="U354" s="15"/>
      <c r="V354" s="11"/>
      <c r="W354" s="11"/>
      <c r="X354" s="11"/>
      <c r="Y354" s="11"/>
      <c r="Z354" s="11"/>
    </row>
    <row r="355">
      <c r="A355" s="18"/>
      <c r="B355" s="11"/>
      <c r="C355" s="11"/>
      <c r="D355" s="11"/>
      <c r="E355" s="11"/>
      <c r="F355" s="11"/>
      <c r="G355" s="11"/>
      <c r="H355" s="11"/>
      <c r="I355" s="11"/>
      <c r="J355" s="11"/>
      <c r="K355" s="11"/>
      <c r="L355" s="15"/>
      <c r="M355" s="15"/>
      <c r="N355" s="15"/>
      <c r="O355" s="15"/>
      <c r="P355" s="15"/>
      <c r="Q355" s="11"/>
      <c r="R355" s="11"/>
      <c r="S355" s="11"/>
      <c r="T355" s="11"/>
      <c r="U355" s="15"/>
      <c r="V355" s="11"/>
      <c r="W355" s="11"/>
      <c r="X355" s="11"/>
      <c r="Y355" s="11"/>
      <c r="Z355" s="11"/>
    </row>
    <row r="356">
      <c r="A356" s="18"/>
      <c r="B356" s="11"/>
      <c r="C356" s="11"/>
      <c r="D356" s="11"/>
      <c r="E356" s="11"/>
      <c r="F356" s="11"/>
      <c r="G356" s="11"/>
      <c r="H356" s="11"/>
      <c r="I356" s="11"/>
      <c r="J356" s="11"/>
      <c r="K356" s="11"/>
      <c r="L356" s="15"/>
      <c r="M356" s="15"/>
      <c r="N356" s="15"/>
      <c r="O356" s="15"/>
      <c r="P356" s="15"/>
      <c r="Q356" s="11"/>
      <c r="R356" s="11"/>
      <c r="S356" s="11"/>
      <c r="T356" s="11"/>
      <c r="U356" s="15"/>
      <c r="V356" s="11"/>
      <c r="W356" s="11"/>
      <c r="X356" s="11"/>
      <c r="Y356" s="11"/>
      <c r="Z356" s="11"/>
    </row>
    <row r="357">
      <c r="A357" s="18"/>
      <c r="B357" s="11"/>
      <c r="C357" s="11"/>
      <c r="D357" s="11"/>
      <c r="E357" s="11"/>
      <c r="F357" s="11"/>
      <c r="G357" s="11"/>
      <c r="H357" s="11"/>
      <c r="I357" s="11"/>
      <c r="J357" s="11"/>
      <c r="K357" s="11"/>
      <c r="L357" s="15"/>
      <c r="M357" s="15"/>
      <c r="N357" s="15"/>
      <c r="O357" s="15"/>
      <c r="P357" s="15"/>
      <c r="Q357" s="11"/>
      <c r="R357" s="11"/>
      <c r="S357" s="11"/>
      <c r="T357" s="11"/>
      <c r="U357" s="15"/>
      <c r="V357" s="11"/>
      <c r="W357" s="11"/>
      <c r="X357" s="11"/>
      <c r="Y357" s="11"/>
      <c r="Z357" s="11"/>
    </row>
    <row r="358">
      <c r="A358" s="18"/>
      <c r="B358" s="11"/>
      <c r="C358" s="11"/>
      <c r="D358" s="11"/>
      <c r="E358" s="11"/>
      <c r="F358" s="11"/>
      <c r="G358" s="11"/>
      <c r="H358" s="11"/>
      <c r="I358" s="11"/>
      <c r="J358" s="11"/>
      <c r="K358" s="11"/>
      <c r="L358" s="15"/>
      <c r="M358" s="15"/>
      <c r="N358" s="15"/>
      <c r="O358" s="15"/>
      <c r="P358" s="15"/>
      <c r="Q358" s="11"/>
      <c r="R358" s="11"/>
      <c r="S358" s="11"/>
      <c r="T358" s="11"/>
      <c r="U358" s="15"/>
      <c r="V358" s="11"/>
      <c r="W358" s="11"/>
      <c r="X358" s="11"/>
      <c r="Y358" s="11"/>
      <c r="Z358" s="11"/>
    </row>
    <row r="359">
      <c r="A359" s="18"/>
      <c r="B359" s="11"/>
      <c r="C359" s="11"/>
      <c r="D359" s="11"/>
      <c r="E359" s="11"/>
      <c r="F359" s="11"/>
      <c r="G359" s="11"/>
      <c r="H359" s="11"/>
      <c r="I359" s="11"/>
      <c r="J359" s="11"/>
      <c r="K359" s="11"/>
      <c r="L359" s="15"/>
      <c r="M359" s="15"/>
      <c r="N359" s="15"/>
      <c r="O359" s="15"/>
      <c r="P359" s="15"/>
      <c r="Q359" s="11"/>
      <c r="R359" s="11"/>
      <c r="S359" s="11"/>
      <c r="T359" s="11"/>
      <c r="U359" s="15"/>
      <c r="V359" s="11"/>
      <c r="W359" s="11"/>
      <c r="X359" s="11"/>
      <c r="Y359" s="11"/>
      <c r="Z359" s="11"/>
    </row>
    <row r="360">
      <c r="A360" s="18"/>
      <c r="B360" s="11"/>
      <c r="C360" s="11"/>
      <c r="D360" s="11"/>
      <c r="E360" s="11"/>
      <c r="F360" s="11"/>
      <c r="G360" s="11"/>
      <c r="H360" s="11"/>
      <c r="I360" s="11"/>
      <c r="J360" s="11"/>
      <c r="K360" s="11"/>
      <c r="L360" s="15"/>
      <c r="M360" s="15"/>
      <c r="N360" s="15"/>
      <c r="O360" s="15"/>
      <c r="P360" s="15"/>
      <c r="Q360" s="11"/>
      <c r="R360" s="11"/>
      <c r="S360" s="11"/>
      <c r="T360" s="11"/>
      <c r="U360" s="15"/>
      <c r="V360" s="11"/>
      <c r="W360" s="11"/>
      <c r="X360" s="11"/>
      <c r="Y360" s="11"/>
      <c r="Z360" s="11"/>
    </row>
    <row r="361">
      <c r="A361" s="18"/>
      <c r="B361" s="11"/>
      <c r="C361" s="11"/>
      <c r="D361" s="11"/>
      <c r="E361" s="11"/>
      <c r="F361" s="11"/>
      <c r="G361" s="11"/>
      <c r="H361" s="11"/>
      <c r="I361" s="11"/>
      <c r="J361" s="11"/>
      <c r="K361" s="11"/>
      <c r="L361" s="15"/>
      <c r="M361" s="15"/>
      <c r="N361" s="15"/>
      <c r="O361" s="15"/>
      <c r="P361" s="15"/>
      <c r="Q361" s="11"/>
      <c r="R361" s="11"/>
      <c r="S361" s="11"/>
      <c r="T361" s="11"/>
      <c r="U361" s="15"/>
      <c r="V361" s="11"/>
      <c r="W361" s="11"/>
      <c r="X361" s="11"/>
      <c r="Y361" s="11"/>
      <c r="Z361" s="11"/>
    </row>
    <row r="362">
      <c r="A362" s="18"/>
      <c r="B362" s="11"/>
      <c r="C362" s="11"/>
      <c r="D362" s="11"/>
      <c r="E362" s="11"/>
      <c r="F362" s="11"/>
      <c r="G362" s="11"/>
      <c r="H362" s="11"/>
      <c r="I362" s="11"/>
      <c r="J362" s="11"/>
      <c r="K362" s="11"/>
      <c r="L362" s="15"/>
      <c r="M362" s="15"/>
      <c r="N362" s="15"/>
      <c r="O362" s="15"/>
      <c r="P362" s="15"/>
      <c r="Q362" s="11"/>
      <c r="R362" s="11"/>
      <c r="S362" s="11"/>
      <c r="T362" s="11"/>
      <c r="U362" s="15"/>
      <c r="V362" s="11"/>
      <c r="W362" s="11"/>
      <c r="X362" s="11"/>
      <c r="Y362" s="11"/>
      <c r="Z362" s="11"/>
    </row>
    <row r="363">
      <c r="A363" s="18"/>
      <c r="B363" s="11"/>
      <c r="C363" s="11"/>
      <c r="D363" s="11"/>
      <c r="E363" s="11"/>
      <c r="F363" s="11"/>
      <c r="G363" s="11"/>
      <c r="H363" s="11"/>
      <c r="I363" s="11"/>
      <c r="J363" s="11"/>
      <c r="K363" s="11"/>
      <c r="L363" s="15"/>
      <c r="M363" s="15"/>
      <c r="N363" s="15"/>
      <c r="O363" s="15"/>
      <c r="P363" s="15"/>
      <c r="Q363" s="11"/>
      <c r="R363" s="11"/>
      <c r="S363" s="11"/>
      <c r="T363" s="11"/>
      <c r="U363" s="15"/>
      <c r="V363" s="11"/>
      <c r="W363" s="11"/>
      <c r="X363" s="11"/>
      <c r="Y363" s="11"/>
      <c r="Z363" s="11"/>
    </row>
    <row r="364">
      <c r="A364" s="18"/>
      <c r="B364" s="11"/>
      <c r="C364" s="11"/>
      <c r="D364" s="11"/>
      <c r="E364" s="11"/>
      <c r="F364" s="11"/>
      <c r="G364" s="11"/>
      <c r="H364" s="11"/>
      <c r="I364" s="11"/>
      <c r="J364" s="11"/>
      <c r="K364" s="11"/>
      <c r="L364" s="15"/>
      <c r="M364" s="15"/>
      <c r="N364" s="15"/>
      <c r="O364" s="15"/>
      <c r="P364" s="15"/>
      <c r="Q364" s="11"/>
      <c r="R364" s="11"/>
      <c r="S364" s="11"/>
      <c r="T364" s="11"/>
      <c r="U364" s="15"/>
      <c r="V364" s="11"/>
      <c r="W364" s="11"/>
      <c r="X364" s="11"/>
      <c r="Y364" s="11"/>
      <c r="Z364" s="11"/>
    </row>
    <row r="365">
      <c r="A365" s="18"/>
      <c r="B365" s="11"/>
      <c r="C365" s="11"/>
      <c r="D365" s="11"/>
      <c r="E365" s="11"/>
      <c r="F365" s="11"/>
      <c r="G365" s="11"/>
      <c r="H365" s="11"/>
      <c r="I365" s="11"/>
      <c r="J365" s="11"/>
      <c r="K365" s="11"/>
      <c r="L365" s="15"/>
      <c r="M365" s="15"/>
      <c r="N365" s="15"/>
      <c r="O365" s="15"/>
      <c r="P365" s="15"/>
      <c r="Q365" s="11"/>
      <c r="R365" s="11"/>
      <c r="S365" s="11"/>
      <c r="T365" s="11"/>
      <c r="U365" s="15"/>
      <c r="V365" s="11"/>
      <c r="W365" s="11"/>
      <c r="X365" s="11"/>
      <c r="Y365" s="11"/>
      <c r="Z365" s="11"/>
    </row>
    <row r="366">
      <c r="A366" s="18"/>
      <c r="B366" s="11"/>
      <c r="C366" s="11"/>
      <c r="D366" s="11"/>
      <c r="E366" s="11"/>
      <c r="F366" s="11"/>
      <c r="G366" s="11"/>
      <c r="H366" s="11"/>
      <c r="I366" s="11"/>
      <c r="J366" s="11"/>
      <c r="K366" s="11"/>
      <c r="L366" s="15"/>
      <c r="M366" s="15"/>
      <c r="N366" s="15"/>
      <c r="O366" s="15"/>
      <c r="P366" s="15"/>
      <c r="Q366" s="11"/>
      <c r="R366" s="11"/>
      <c r="S366" s="11"/>
      <c r="T366" s="11"/>
      <c r="U366" s="15"/>
      <c r="V366" s="11"/>
      <c r="W366" s="11"/>
      <c r="X366" s="11"/>
      <c r="Y366" s="11"/>
      <c r="Z366" s="11"/>
    </row>
    <row r="367">
      <c r="A367" s="18"/>
      <c r="B367" s="11"/>
      <c r="C367" s="11"/>
      <c r="D367" s="11"/>
      <c r="E367" s="11"/>
      <c r="F367" s="11"/>
      <c r="G367" s="11"/>
      <c r="H367" s="11"/>
      <c r="I367" s="11"/>
      <c r="J367" s="11"/>
      <c r="K367" s="11"/>
      <c r="L367" s="15"/>
      <c r="M367" s="15"/>
      <c r="N367" s="15"/>
      <c r="O367" s="15"/>
      <c r="P367" s="15"/>
      <c r="Q367" s="11"/>
      <c r="R367" s="11"/>
      <c r="S367" s="11"/>
      <c r="T367" s="11"/>
      <c r="U367" s="15"/>
      <c r="V367" s="11"/>
      <c r="W367" s="11"/>
      <c r="X367" s="11"/>
      <c r="Y367" s="11"/>
      <c r="Z367" s="11"/>
    </row>
    <row r="368">
      <c r="A368" s="18"/>
      <c r="B368" s="11"/>
      <c r="C368" s="11"/>
      <c r="D368" s="11"/>
      <c r="E368" s="11"/>
      <c r="F368" s="11"/>
      <c r="G368" s="11"/>
      <c r="H368" s="11"/>
      <c r="I368" s="11"/>
      <c r="J368" s="11"/>
      <c r="K368" s="11"/>
      <c r="L368" s="15"/>
      <c r="M368" s="15"/>
      <c r="N368" s="15"/>
      <c r="O368" s="15"/>
      <c r="P368" s="15"/>
      <c r="Q368" s="11"/>
      <c r="R368" s="11"/>
      <c r="S368" s="11"/>
      <c r="T368" s="11"/>
      <c r="U368" s="15"/>
      <c r="V368" s="11"/>
      <c r="W368" s="11"/>
      <c r="X368" s="11"/>
      <c r="Y368" s="11"/>
      <c r="Z368" s="11"/>
    </row>
    <row r="369">
      <c r="A369" s="18"/>
      <c r="B369" s="11"/>
      <c r="C369" s="11"/>
      <c r="D369" s="11"/>
      <c r="E369" s="11"/>
      <c r="F369" s="11"/>
      <c r="G369" s="11"/>
      <c r="H369" s="11"/>
      <c r="I369" s="11"/>
      <c r="J369" s="11"/>
      <c r="K369" s="11"/>
      <c r="L369" s="15"/>
      <c r="M369" s="15"/>
      <c r="N369" s="15"/>
      <c r="O369" s="15"/>
      <c r="P369" s="15"/>
      <c r="Q369" s="11"/>
      <c r="R369" s="11"/>
      <c r="S369" s="11"/>
      <c r="T369" s="11"/>
      <c r="U369" s="15"/>
      <c r="V369" s="11"/>
      <c r="W369" s="11"/>
      <c r="X369" s="11"/>
      <c r="Y369" s="11"/>
      <c r="Z369" s="11"/>
    </row>
    <row r="370">
      <c r="A370" s="18"/>
      <c r="B370" s="11"/>
      <c r="C370" s="11"/>
      <c r="D370" s="11"/>
      <c r="E370" s="11"/>
      <c r="F370" s="11"/>
      <c r="G370" s="11"/>
      <c r="H370" s="11"/>
      <c r="I370" s="11"/>
      <c r="J370" s="11"/>
      <c r="K370" s="11"/>
      <c r="L370" s="15"/>
      <c r="M370" s="15"/>
      <c r="N370" s="15"/>
      <c r="O370" s="15"/>
      <c r="P370" s="15"/>
      <c r="Q370" s="11"/>
      <c r="R370" s="11"/>
      <c r="S370" s="11"/>
      <c r="T370" s="11"/>
      <c r="U370" s="15"/>
      <c r="V370" s="11"/>
      <c r="W370" s="11"/>
      <c r="X370" s="11"/>
      <c r="Y370" s="11"/>
      <c r="Z370" s="11"/>
    </row>
    <row r="371">
      <c r="A371" s="18"/>
      <c r="B371" s="11"/>
      <c r="C371" s="11"/>
      <c r="D371" s="11"/>
      <c r="E371" s="11"/>
      <c r="F371" s="11"/>
      <c r="G371" s="11"/>
      <c r="H371" s="11"/>
      <c r="I371" s="11"/>
      <c r="J371" s="11"/>
      <c r="K371" s="11"/>
      <c r="L371" s="15"/>
      <c r="M371" s="15"/>
      <c r="N371" s="15"/>
      <c r="O371" s="15"/>
      <c r="P371" s="15"/>
      <c r="Q371" s="11"/>
      <c r="R371" s="11"/>
      <c r="S371" s="11"/>
      <c r="T371" s="11"/>
      <c r="U371" s="15"/>
      <c r="V371" s="11"/>
      <c r="W371" s="11"/>
      <c r="X371" s="11"/>
      <c r="Y371" s="11"/>
      <c r="Z371" s="11"/>
    </row>
    <row r="372">
      <c r="A372" s="18"/>
      <c r="B372" s="11"/>
      <c r="C372" s="11"/>
      <c r="D372" s="11"/>
      <c r="E372" s="11"/>
      <c r="F372" s="11"/>
      <c r="G372" s="11"/>
      <c r="H372" s="11"/>
      <c r="I372" s="11"/>
      <c r="J372" s="11"/>
      <c r="K372" s="11"/>
      <c r="L372" s="15"/>
      <c r="M372" s="15"/>
      <c r="N372" s="15"/>
      <c r="O372" s="15"/>
      <c r="P372" s="15"/>
      <c r="Q372" s="11"/>
      <c r="R372" s="11"/>
      <c r="S372" s="11"/>
      <c r="T372" s="11"/>
      <c r="U372" s="15"/>
      <c r="V372" s="11"/>
      <c r="W372" s="11"/>
      <c r="X372" s="11"/>
      <c r="Y372" s="11"/>
      <c r="Z372" s="11"/>
    </row>
    <row r="373">
      <c r="A373" s="18"/>
      <c r="B373" s="11"/>
      <c r="C373" s="11"/>
      <c r="D373" s="11"/>
      <c r="E373" s="11"/>
      <c r="F373" s="11"/>
      <c r="G373" s="11"/>
      <c r="H373" s="11"/>
      <c r="I373" s="11"/>
      <c r="J373" s="11"/>
      <c r="K373" s="11"/>
      <c r="L373" s="15"/>
      <c r="M373" s="15"/>
      <c r="N373" s="15"/>
      <c r="O373" s="15"/>
      <c r="P373" s="15"/>
      <c r="Q373" s="11"/>
      <c r="R373" s="11"/>
      <c r="S373" s="11"/>
      <c r="T373" s="11"/>
      <c r="U373" s="15"/>
      <c r="V373" s="11"/>
      <c r="W373" s="11"/>
      <c r="X373" s="11"/>
      <c r="Y373" s="11"/>
      <c r="Z373" s="11"/>
    </row>
    <row r="374">
      <c r="A374" s="18"/>
      <c r="B374" s="11"/>
      <c r="C374" s="11"/>
      <c r="D374" s="11"/>
      <c r="E374" s="11"/>
      <c r="F374" s="11"/>
      <c r="G374" s="11"/>
      <c r="H374" s="11"/>
      <c r="I374" s="11"/>
      <c r="J374" s="11"/>
      <c r="K374" s="11"/>
      <c r="L374" s="15"/>
      <c r="M374" s="15"/>
      <c r="N374" s="15"/>
      <c r="O374" s="15"/>
      <c r="P374" s="15"/>
      <c r="Q374" s="11"/>
      <c r="R374" s="11"/>
      <c r="S374" s="11"/>
      <c r="T374" s="11"/>
      <c r="U374" s="15"/>
      <c r="V374" s="11"/>
      <c r="W374" s="11"/>
      <c r="X374" s="11"/>
      <c r="Y374" s="11"/>
      <c r="Z374" s="11"/>
    </row>
    <row r="375">
      <c r="A375" s="18"/>
      <c r="B375" s="11"/>
      <c r="C375" s="11"/>
      <c r="D375" s="11"/>
      <c r="E375" s="11"/>
      <c r="F375" s="11"/>
      <c r="G375" s="11"/>
      <c r="H375" s="11"/>
      <c r="I375" s="11"/>
      <c r="J375" s="11"/>
      <c r="K375" s="11"/>
      <c r="L375" s="15"/>
      <c r="M375" s="15"/>
      <c r="N375" s="15"/>
      <c r="O375" s="15"/>
      <c r="P375" s="15"/>
      <c r="Q375" s="11"/>
      <c r="R375" s="11"/>
      <c r="S375" s="11"/>
      <c r="T375" s="11"/>
      <c r="U375" s="15"/>
      <c r="V375" s="11"/>
      <c r="W375" s="11"/>
      <c r="X375" s="11"/>
      <c r="Y375" s="11"/>
      <c r="Z375" s="11"/>
    </row>
    <row r="376">
      <c r="A376" s="18"/>
      <c r="B376" s="11"/>
      <c r="C376" s="11"/>
      <c r="D376" s="11"/>
      <c r="E376" s="11"/>
      <c r="F376" s="11"/>
      <c r="G376" s="11"/>
      <c r="H376" s="11"/>
      <c r="I376" s="11"/>
      <c r="J376" s="11"/>
      <c r="K376" s="11"/>
      <c r="L376" s="15"/>
      <c r="M376" s="15"/>
      <c r="N376" s="15"/>
      <c r="O376" s="15"/>
      <c r="P376" s="15"/>
      <c r="Q376" s="11"/>
      <c r="R376" s="11"/>
      <c r="S376" s="11"/>
      <c r="T376" s="11"/>
      <c r="U376" s="15"/>
      <c r="V376" s="11"/>
      <c r="W376" s="11"/>
      <c r="X376" s="11"/>
      <c r="Y376" s="11"/>
      <c r="Z376" s="11"/>
    </row>
    <row r="377">
      <c r="A377" s="18"/>
      <c r="B377" s="11"/>
      <c r="C377" s="11"/>
      <c r="D377" s="11"/>
      <c r="E377" s="11"/>
      <c r="F377" s="11"/>
      <c r="G377" s="11"/>
      <c r="H377" s="11"/>
      <c r="I377" s="11"/>
      <c r="J377" s="11"/>
      <c r="K377" s="11"/>
      <c r="L377" s="15"/>
      <c r="M377" s="15"/>
      <c r="N377" s="15"/>
      <c r="O377" s="15"/>
      <c r="P377" s="15"/>
      <c r="Q377" s="11"/>
      <c r="R377" s="11"/>
      <c r="S377" s="11"/>
      <c r="T377" s="11"/>
      <c r="U377" s="15"/>
      <c r="V377" s="11"/>
      <c r="W377" s="11"/>
      <c r="X377" s="11"/>
      <c r="Y377" s="11"/>
      <c r="Z377" s="11"/>
    </row>
    <row r="378">
      <c r="A378" s="18"/>
      <c r="B378" s="11"/>
      <c r="C378" s="11"/>
      <c r="D378" s="11"/>
      <c r="E378" s="11"/>
      <c r="F378" s="11"/>
      <c r="G378" s="11"/>
      <c r="H378" s="11"/>
      <c r="I378" s="11"/>
      <c r="J378" s="11"/>
      <c r="K378" s="11"/>
      <c r="L378" s="15"/>
      <c r="M378" s="15"/>
      <c r="N378" s="15"/>
      <c r="O378" s="15"/>
      <c r="P378" s="15"/>
      <c r="Q378" s="11"/>
      <c r="R378" s="11"/>
      <c r="S378" s="11"/>
      <c r="T378" s="11"/>
      <c r="U378" s="15"/>
      <c r="V378" s="11"/>
      <c r="W378" s="11"/>
      <c r="X378" s="11"/>
      <c r="Y378" s="11"/>
      <c r="Z378" s="11"/>
    </row>
    <row r="379">
      <c r="A379" s="18"/>
      <c r="B379" s="11"/>
      <c r="C379" s="11"/>
      <c r="D379" s="11"/>
      <c r="E379" s="11"/>
      <c r="F379" s="11"/>
      <c r="G379" s="11"/>
      <c r="H379" s="11"/>
      <c r="I379" s="11"/>
      <c r="J379" s="11"/>
      <c r="K379" s="11"/>
      <c r="L379" s="15"/>
      <c r="M379" s="15"/>
      <c r="N379" s="15"/>
      <c r="O379" s="15"/>
      <c r="P379" s="15"/>
      <c r="Q379" s="11"/>
      <c r="R379" s="11"/>
      <c r="S379" s="11"/>
      <c r="T379" s="11"/>
      <c r="U379" s="15"/>
      <c r="V379" s="11"/>
      <c r="W379" s="11"/>
      <c r="X379" s="11"/>
      <c r="Y379" s="11"/>
      <c r="Z379" s="11"/>
    </row>
    <row r="380">
      <c r="A380" s="18"/>
      <c r="B380" s="11"/>
      <c r="C380" s="11"/>
      <c r="D380" s="11"/>
      <c r="E380" s="11"/>
      <c r="F380" s="11"/>
      <c r="G380" s="11"/>
      <c r="H380" s="11"/>
      <c r="I380" s="11"/>
      <c r="J380" s="11"/>
      <c r="K380" s="11"/>
      <c r="L380" s="15"/>
      <c r="M380" s="15"/>
      <c r="N380" s="15"/>
      <c r="O380" s="15"/>
      <c r="P380" s="15"/>
      <c r="Q380" s="11"/>
      <c r="R380" s="11"/>
      <c r="S380" s="11"/>
      <c r="T380" s="11"/>
      <c r="U380" s="15"/>
      <c r="V380" s="11"/>
      <c r="W380" s="11"/>
      <c r="X380" s="11"/>
      <c r="Y380" s="11"/>
      <c r="Z380" s="11"/>
    </row>
    <row r="381">
      <c r="A381" s="18"/>
      <c r="B381" s="11"/>
      <c r="C381" s="11"/>
      <c r="D381" s="11"/>
      <c r="E381" s="11"/>
      <c r="F381" s="11"/>
      <c r="G381" s="11"/>
      <c r="H381" s="11"/>
      <c r="I381" s="11"/>
      <c r="J381" s="11"/>
      <c r="K381" s="11"/>
      <c r="L381" s="15"/>
      <c r="M381" s="15"/>
      <c r="N381" s="15"/>
      <c r="O381" s="15"/>
      <c r="P381" s="15"/>
      <c r="Q381" s="11"/>
      <c r="R381" s="11"/>
      <c r="S381" s="11"/>
      <c r="T381" s="11"/>
      <c r="U381" s="15"/>
      <c r="V381" s="11"/>
      <c r="W381" s="11"/>
      <c r="X381" s="11"/>
      <c r="Y381" s="11"/>
      <c r="Z381" s="11"/>
    </row>
    <row r="382">
      <c r="A382" s="18"/>
      <c r="B382" s="11"/>
      <c r="C382" s="11"/>
      <c r="D382" s="11"/>
      <c r="E382" s="11"/>
      <c r="F382" s="11"/>
      <c r="G382" s="11"/>
      <c r="H382" s="11"/>
      <c r="I382" s="11"/>
      <c r="J382" s="11"/>
      <c r="K382" s="11"/>
      <c r="L382" s="15"/>
      <c r="M382" s="15"/>
      <c r="N382" s="15"/>
      <c r="O382" s="15"/>
      <c r="P382" s="15"/>
      <c r="Q382" s="11"/>
      <c r="R382" s="11"/>
      <c r="S382" s="11"/>
      <c r="T382" s="11"/>
      <c r="U382" s="15"/>
      <c r="V382" s="11"/>
      <c r="W382" s="11"/>
      <c r="X382" s="11"/>
      <c r="Y382" s="11"/>
      <c r="Z382" s="11"/>
    </row>
    <row r="383">
      <c r="A383" s="18"/>
      <c r="B383" s="11"/>
      <c r="C383" s="11"/>
      <c r="D383" s="11"/>
      <c r="E383" s="11"/>
      <c r="F383" s="11"/>
      <c r="G383" s="11"/>
      <c r="H383" s="11"/>
      <c r="I383" s="11"/>
      <c r="J383" s="11"/>
      <c r="K383" s="11"/>
      <c r="L383" s="15"/>
      <c r="M383" s="15"/>
      <c r="N383" s="15"/>
      <c r="O383" s="15"/>
      <c r="P383" s="15"/>
      <c r="Q383" s="11"/>
      <c r="R383" s="11"/>
      <c r="S383" s="11"/>
      <c r="T383" s="11"/>
      <c r="U383" s="15"/>
      <c r="V383" s="11"/>
      <c r="W383" s="11"/>
      <c r="X383" s="11"/>
      <c r="Y383" s="11"/>
      <c r="Z383" s="11"/>
    </row>
    <row r="384">
      <c r="A384" s="18"/>
      <c r="B384" s="11"/>
      <c r="C384" s="11"/>
      <c r="D384" s="11"/>
      <c r="E384" s="11"/>
      <c r="F384" s="11"/>
      <c r="G384" s="11"/>
      <c r="H384" s="11"/>
      <c r="I384" s="11"/>
      <c r="J384" s="11"/>
      <c r="K384" s="11"/>
      <c r="L384" s="15"/>
      <c r="M384" s="15"/>
      <c r="N384" s="15"/>
      <c r="O384" s="15"/>
      <c r="P384" s="15"/>
      <c r="Q384" s="11"/>
      <c r="R384" s="11"/>
      <c r="S384" s="11"/>
      <c r="T384" s="11"/>
      <c r="U384" s="15"/>
      <c r="V384" s="11"/>
      <c r="W384" s="11"/>
      <c r="X384" s="11"/>
      <c r="Y384" s="11"/>
      <c r="Z384" s="11"/>
    </row>
    <row r="385">
      <c r="A385" s="18"/>
      <c r="B385" s="11"/>
      <c r="C385" s="11"/>
      <c r="D385" s="11"/>
      <c r="E385" s="11"/>
      <c r="F385" s="11"/>
      <c r="G385" s="11"/>
      <c r="H385" s="11"/>
      <c r="I385" s="11"/>
      <c r="J385" s="11"/>
      <c r="K385" s="11"/>
      <c r="L385" s="15"/>
      <c r="M385" s="15"/>
      <c r="N385" s="15"/>
      <c r="O385" s="15"/>
      <c r="P385" s="15"/>
      <c r="Q385" s="11"/>
      <c r="R385" s="11"/>
      <c r="S385" s="11"/>
      <c r="T385" s="11"/>
      <c r="U385" s="15"/>
      <c r="V385" s="11"/>
      <c r="W385" s="11"/>
      <c r="X385" s="11"/>
      <c r="Y385" s="11"/>
      <c r="Z385" s="11"/>
    </row>
    <row r="386">
      <c r="A386" s="18"/>
      <c r="B386" s="11"/>
      <c r="C386" s="11"/>
      <c r="D386" s="11"/>
      <c r="E386" s="11"/>
      <c r="F386" s="11"/>
      <c r="G386" s="11"/>
      <c r="H386" s="11"/>
      <c r="I386" s="11"/>
      <c r="J386" s="11"/>
      <c r="K386" s="11"/>
      <c r="L386" s="15"/>
      <c r="M386" s="15"/>
      <c r="N386" s="15"/>
      <c r="O386" s="15"/>
      <c r="P386" s="15"/>
      <c r="Q386" s="11"/>
      <c r="R386" s="11"/>
      <c r="S386" s="11"/>
      <c r="T386" s="11"/>
      <c r="U386" s="15"/>
      <c r="V386" s="11"/>
      <c r="W386" s="11"/>
      <c r="X386" s="11"/>
      <c r="Y386" s="11"/>
      <c r="Z386" s="11"/>
    </row>
    <row r="387">
      <c r="A387" s="18"/>
      <c r="B387" s="11"/>
      <c r="C387" s="11"/>
      <c r="D387" s="11"/>
      <c r="E387" s="11"/>
      <c r="F387" s="11"/>
      <c r="G387" s="11"/>
      <c r="H387" s="11"/>
      <c r="I387" s="11"/>
      <c r="J387" s="11"/>
      <c r="K387" s="11"/>
      <c r="L387" s="15"/>
      <c r="M387" s="15"/>
      <c r="N387" s="15"/>
      <c r="O387" s="15"/>
      <c r="P387" s="15"/>
      <c r="Q387" s="11"/>
      <c r="R387" s="11"/>
      <c r="S387" s="11"/>
      <c r="T387" s="11"/>
      <c r="U387" s="15"/>
      <c r="V387" s="11"/>
      <c r="W387" s="11"/>
      <c r="X387" s="11"/>
      <c r="Y387" s="11"/>
      <c r="Z387" s="11"/>
    </row>
    <row r="388">
      <c r="A388" s="18"/>
      <c r="B388" s="11"/>
      <c r="C388" s="11"/>
      <c r="D388" s="11"/>
      <c r="E388" s="11"/>
      <c r="F388" s="11"/>
      <c r="G388" s="11"/>
      <c r="H388" s="11"/>
      <c r="I388" s="11"/>
      <c r="J388" s="11"/>
      <c r="K388" s="11"/>
      <c r="L388" s="15"/>
      <c r="M388" s="15"/>
      <c r="N388" s="15"/>
      <c r="O388" s="15"/>
      <c r="P388" s="15"/>
      <c r="Q388" s="11"/>
      <c r="R388" s="11"/>
      <c r="S388" s="11"/>
      <c r="T388" s="11"/>
      <c r="U388" s="15"/>
      <c r="V388" s="11"/>
      <c r="W388" s="11"/>
      <c r="X388" s="11"/>
      <c r="Y388" s="11"/>
      <c r="Z388" s="11"/>
    </row>
    <row r="389">
      <c r="A389" s="18"/>
      <c r="B389" s="11"/>
      <c r="C389" s="11"/>
      <c r="D389" s="11"/>
      <c r="E389" s="11"/>
      <c r="F389" s="11"/>
      <c r="G389" s="11"/>
      <c r="H389" s="11"/>
      <c r="I389" s="11"/>
      <c r="J389" s="11"/>
      <c r="K389" s="11"/>
      <c r="L389" s="15"/>
      <c r="M389" s="15"/>
      <c r="N389" s="15"/>
      <c r="O389" s="15"/>
      <c r="P389" s="15"/>
      <c r="Q389" s="11"/>
      <c r="R389" s="11"/>
      <c r="S389" s="11"/>
      <c r="T389" s="11"/>
      <c r="U389" s="15"/>
      <c r="V389" s="11"/>
      <c r="W389" s="11"/>
      <c r="X389" s="11"/>
      <c r="Y389" s="11"/>
      <c r="Z389" s="11"/>
    </row>
    <row r="390">
      <c r="A390" s="18"/>
      <c r="B390" s="11"/>
      <c r="C390" s="11"/>
      <c r="D390" s="11"/>
      <c r="E390" s="11"/>
      <c r="F390" s="11"/>
      <c r="G390" s="11"/>
      <c r="H390" s="11"/>
      <c r="I390" s="11"/>
      <c r="J390" s="11"/>
      <c r="K390" s="11"/>
      <c r="L390" s="15"/>
      <c r="M390" s="15"/>
      <c r="N390" s="15"/>
      <c r="O390" s="15"/>
      <c r="P390" s="15"/>
      <c r="Q390" s="11"/>
      <c r="R390" s="11"/>
      <c r="S390" s="11"/>
      <c r="T390" s="11"/>
      <c r="U390" s="15"/>
      <c r="V390" s="11"/>
      <c r="W390" s="11"/>
      <c r="X390" s="11"/>
      <c r="Y390" s="11"/>
      <c r="Z390" s="11"/>
    </row>
    <row r="391">
      <c r="A391" s="18"/>
      <c r="B391" s="11"/>
      <c r="C391" s="11"/>
      <c r="D391" s="11"/>
      <c r="E391" s="11"/>
      <c r="F391" s="11"/>
      <c r="G391" s="11"/>
      <c r="H391" s="11"/>
      <c r="I391" s="11"/>
      <c r="J391" s="11"/>
      <c r="K391" s="11"/>
      <c r="L391" s="15"/>
      <c r="M391" s="15"/>
      <c r="N391" s="15"/>
      <c r="O391" s="15"/>
      <c r="P391" s="15"/>
      <c r="Q391" s="11"/>
      <c r="R391" s="11"/>
      <c r="S391" s="11"/>
      <c r="T391" s="11"/>
      <c r="U391" s="15"/>
      <c r="V391" s="11"/>
      <c r="W391" s="11"/>
      <c r="X391" s="11"/>
      <c r="Y391" s="11"/>
      <c r="Z391" s="11"/>
    </row>
    <row r="392">
      <c r="A392" s="18"/>
      <c r="B392" s="11"/>
      <c r="C392" s="11"/>
      <c r="D392" s="11"/>
      <c r="E392" s="11"/>
      <c r="F392" s="11"/>
      <c r="G392" s="11"/>
      <c r="H392" s="11"/>
      <c r="I392" s="11"/>
      <c r="J392" s="11"/>
      <c r="K392" s="11"/>
      <c r="L392" s="15"/>
      <c r="M392" s="15"/>
      <c r="N392" s="15"/>
      <c r="O392" s="15"/>
      <c r="P392" s="15"/>
      <c r="Q392" s="11"/>
      <c r="R392" s="11"/>
      <c r="S392" s="11"/>
      <c r="T392" s="11"/>
      <c r="U392" s="15"/>
      <c r="V392" s="11"/>
      <c r="W392" s="11"/>
      <c r="X392" s="11"/>
      <c r="Y392" s="11"/>
      <c r="Z392" s="11"/>
    </row>
    <row r="393">
      <c r="A393" s="18"/>
      <c r="B393" s="11"/>
      <c r="C393" s="11"/>
      <c r="D393" s="11"/>
      <c r="E393" s="11"/>
      <c r="F393" s="11"/>
      <c r="G393" s="11"/>
      <c r="H393" s="11"/>
      <c r="I393" s="11"/>
      <c r="J393" s="11"/>
      <c r="K393" s="11"/>
      <c r="L393" s="15"/>
      <c r="M393" s="15"/>
      <c r="N393" s="15"/>
      <c r="O393" s="15"/>
      <c r="P393" s="15"/>
      <c r="Q393" s="11"/>
      <c r="R393" s="11"/>
      <c r="S393" s="11"/>
      <c r="T393" s="11"/>
      <c r="U393" s="15"/>
      <c r="V393" s="11"/>
      <c r="W393" s="11"/>
      <c r="X393" s="11"/>
      <c r="Y393" s="11"/>
      <c r="Z393" s="11"/>
    </row>
    <row r="394">
      <c r="A394" s="18"/>
      <c r="B394" s="11"/>
      <c r="C394" s="11"/>
      <c r="D394" s="11"/>
      <c r="E394" s="11"/>
      <c r="F394" s="11"/>
      <c r="G394" s="11"/>
      <c r="H394" s="11"/>
      <c r="I394" s="11"/>
      <c r="J394" s="11"/>
      <c r="K394" s="11"/>
      <c r="L394" s="15"/>
      <c r="M394" s="15"/>
      <c r="N394" s="15"/>
      <c r="O394" s="15"/>
      <c r="P394" s="15"/>
      <c r="Q394" s="11"/>
      <c r="R394" s="11"/>
      <c r="S394" s="11"/>
      <c r="T394" s="11"/>
      <c r="U394" s="15"/>
      <c r="V394" s="11"/>
      <c r="W394" s="11"/>
      <c r="X394" s="11"/>
      <c r="Y394" s="11"/>
      <c r="Z394" s="11"/>
    </row>
    <row r="395">
      <c r="A395" s="18"/>
      <c r="B395" s="11"/>
      <c r="C395" s="11"/>
      <c r="D395" s="11"/>
      <c r="E395" s="11"/>
      <c r="F395" s="11"/>
      <c r="G395" s="11"/>
      <c r="H395" s="11"/>
      <c r="I395" s="11"/>
      <c r="J395" s="11"/>
      <c r="K395" s="11"/>
      <c r="L395" s="15"/>
      <c r="M395" s="15"/>
      <c r="N395" s="15"/>
      <c r="O395" s="15"/>
      <c r="P395" s="15"/>
      <c r="Q395" s="11"/>
      <c r="R395" s="11"/>
      <c r="S395" s="11"/>
      <c r="T395" s="11"/>
      <c r="U395" s="15"/>
      <c r="V395" s="11"/>
      <c r="W395" s="11"/>
      <c r="X395" s="11"/>
      <c r="Y395" s="11"/>
      <c r="Z395" s="11"/>
    </row>
    <row r="396">
      <c r="A396" s="18"/>
      <c r="B396" s="11"/>
      <c r="C396" s="11"/>
      <c r="D396" s="11"/>
      <c r="E396" s="11"/>
      <c r="F396" s="11"/>
      <c r="G396" s="11"/>
      <c r="H396" s="11"/>
      <c r="I396" s="11"/>
      <c r="J396" s="11"/>
      <c r="K396" s="11"/>
      <c r="L396" s="15"/>
      <c r="M396" s="15"/>
      <c r="N396" s="15"/>
      <c r="O396" s="15"/>
      <c r="P396" s="15"/>
      <c r="Q396" s="11"/>
      <c r="R396" s="11"/>
      <c r="S396" s="11"/>
      <c r="T396" s="11"/>
      <c r="U396" s="15"/>
      <c r="V396" s="11"/>
      <c r="W396" s="11"/>
      <c r="X396" s="11"/>
      <c r="Y396" s="11"/>
      <c r="Z396" s="11"/>
    </row>
    <row r="397">
      <c r="A397" s="18"/>
      <c r="B397" s="11"/>
      <c r="C397" s="11"/>
      <c r="D397" s="11"/>
      <c r="E397" s="11"/>
      <c r="F397" s="11"/>
      <c r="G397" s="11"/>
      <c r="H397" s="11"/>
      <c r="I397" s="11"/>
      <c r="J397" s="11"/>
      <c r="K397" s="11"/>
      <c r="L397" s="15"/>
      <c r="M397" s="15"/>
      <c r="N397" s="15"/>
      <c r="O397" s="15"/>
      <c r="P397" s="15"/>
      <c r="Q397" s="11"/>
      <c r="R397" s="11"/>
      <c r="S397" s="11"/>
      <c r="T397" s="11"/>
      <c r="U397" s="15"/>
      <c r="V397" s="11"/>
      <c r="W397" s="11"/>
      <c r="X397" s="11"/>
      <c r="Y397" s="11"/>
      <c r="Z397" s="11"/>
    </row>
    <row r="398">
      <c r="A398" s="18"/>
      <c r="B398" s="11"/>
      <c r="C398" s="11"/>
      <c r="D398" s="11"/>
      <c r="E398" s="11"/>
      <c r="F398" s="11"/>
      <c r="G398" s="11"/>
      <c r="H398" s="11"/>
      <c r="I398" s="11"/>
      <c r="J398" s="11"/>
      <c r="K398" s="11"/>
      <c r="L398" s="15"/>
      <c r="M398" s="15"/>
      <c r="N398" s="15"/>
      <c r="O398" s="15"/>
      <c r="P398" s="15"/>
      <c r="Q398" s="11"/>
      <c r="R398" s="11"/>
      <c r="S398" s="11"/>
      <c r="T398" s="11"/>
      <c r="U398" s="15"/>
      <c r="V398" s="11"/>
      <c r="W398" s="11"/>
      <c r="X398" s="11"/>
      <c r="Y398" s="11"/>
      <c r="Z398" s="11"/>
    </row>
    <row r="399">
      <c r="A399" s="18"/>
      <c r="B399" s="11"/>
      <c r="C399" s="11"/>
      <c r="D399" s="11"/>
      <c r="E399" s="11"/>
      <c r="F399" s="11"/>
      <c r="G399" s="11"/>
      <c r="H399" s="11"/>
      <c r="I399" s="11"/>
      <c r="J399" s="11"/>
      <c r="K399" s="11"/>
      <c r="L399" s="15"/>
      <c r="M399" s="15"/>
      <c r="N399" s="15"/>
      <c r="O399" s="15"/>
      <c r="P399" s="15"/>
      <c r="Q399" s="11"/>
      <c r="R399" s="11"/>
      <c r="S399" s="11"/>
      <c r="T399" s="11"/>
      <c r="U399" s="15"/>
      <c r="V399" s="11"/>
      <c r="W399" s="11"/>
      <c r="X399" s="11"/>
      <c r="Y399" s="11"/>
      <c r="Z399" s="11"/>
    </row>
    <row r="400">
      <c r="A400" s="18"/>
      <c r="B400" s="11"/>
      <c r="C400" s="11"/>
      <c r="D400" s="11"/>
      <c r="E400" s="11"/>
      <c r="F400" s="11"/>
      <c r="G400" s="11"/>
      <c r="H400" s="11"/>
      <c r="I400" s="11"/>
      <c r="J400" s="11"/>
      <c r="K400" s="11"/>
      <c r="L400" s="15"/>
      <c r="M400" s="15"/>
      <c r="N400" s="15"/>
      <c r="O400" s="15"/>
      <c r="P400" s="15"/>
      <c r="Q400" s="11"/>
      <c r="R400" s="11"/>
      <c r="S400" s="11"/>
      <c r="T400" s="11"/>
      <c r="U400" s="15"/>
      <c r="V400" s="11"/>
      <c r="W400" s="11"/>
      <c r="X400" s="11"/>
      <c r="Y400" s="11"/>
      <c r="Z400" s="11"/>
    </row>
    <row r="401">
      <c r="A401" s="18"/>
      <c r="B401" s="11"/>
      <c r="C401" s="11"/>
      <c r="D401" s="11"/>
      <c r="E401" s="11"/>
      <c r="F401" s="11"/>
      <c r="G401" s="11"/>
      <c r="H401" s="11"/>
      <c r="I401" s="11"/>
      <c r="J401" s="11"/>
      <c r="K401" s="11"/>
      <c r="L401" s="15"/>
      <c r="M401" s="15"/>
      <c r="N401" s="15"/>
      <c r="O401" s="15"/>
      <c r="P401" s="15"/>
      <c r="Q401" s="11"/>
      <c r="R401" s="11"/>
      <c r="S401" s="11"/>
      <c r="T401" s="11"/>
      <c r="U401" s="15"/>
      <c r="V401" s="11"/>
      <c r="W401" s="11"/>
      <c r="X401" s="11"/>
      <c r="Y401" s="11"/>
      <c r="Z401" s="11"/>
    </row>
    <row r="402">
      <c r="A402" s="18"/>
      <c r="B402" s="11"/>
      <c r="C402" s="11"/>
      <c r="D402" s="11"/>
      <c r="E402" s="11"/>
      <c r="F402" s="11"/>
      <c r="G402" s="11"/>
      <c r="H402" s="11"/>
      <c r="I402" s="11"/>
      <c r="J402" s="11"/>
      <c r="K402" s="11"/>
      <c r="L402" s="15"/>
      <c r="M402" s="15"/>
      <c r="N402" s="15"/>
      <c r="O402" s="15"/>
      <c r="P402" s="15"/>
      <c r="Q402" s="11"/>
      <c r="R402" s="11"/>
      <c r="S402" s="11"/>
      <c r="T402" s="11"/>
      <c r="U402" s="15"/>
      <c r="V402" s="11"/>
      <c r="W402" s="11"/>
      <c r="X402" s="11"/>
      <c r="Y402" s="11"/>
      <c r="Z402" s="11"/>
    </row>
    <row r="403">
      <c r="A403" s="18"/>
      <c r="B403" s="11"/>
      <c r="C403" s="11"/>
      <c r="D403" s="11"/>
      <c r="E403" s="11"/>
      <c r="F403" s="11"/>
      <c r="G403" s="11"/>
      <c r="H403" s="11"/>
      <c r="I403" s="11"/>
      <c r="J403" s="11"/>
      <c r="K403" s="11"/>
      <c r="L403" s="15"/>
      <c r="M403" s="15"/>
      <c r="N403" s="15"/>
      <c r="O403" s="15"/>
      <c r="P403" s="15"/>
      <c r="Q403" s="11"/>
      <c r="R403" s="11"/>
      <c r="S403" s="11"/>
      <c r="T403" s="11"/>
      <c r="U403" s="15"/>
      <c r="V403" s="11"/>
      <c r="W403" s="11"/>
      <c r="X403" s="11"/>
      <c r="Y403" s="11"/>
      <c r="Z403" s="11"/>
    </row>
    <row r="404">
      <c r="A404" s="18"/>
      <c r="B404" s="11"/>
      <c r="C404" s="11"/>
      <c r="D404" s="11"/>
      <c r="E404" s="11"/>
      <c r="F404" s="11"/>
      <c r="G404" s="11"/>
      <c r="H404" s="11"/>
      <c r="I404" s="11"/>
      <c r="J404" s="11"/>
      <c r="K404" s="11"/>
      <c r="L404" s="15"/>
      <c r="M404" s="15"/>
      <c r="N404" s="15"/>
      <c r="O404" s="15"/>
      <c r="P404" s="15"/>
      <c r="Q404" s="11"/>
      <c r="R404" s="11"/>
      <c r="S404" s="11"/>
      <c r="T404" s="11"/>
      <c r="U404" s="15"/>
      <c r="V404" s="11"/>
      <c r="W404" s="11"/>
      <c r="X404" s="11"/>
      <c r="Y404" s="11"/>
      <c r="Z404" s="11"/>
    </row>
    <row r="405">
      <c r="A405" s="18"/>
      <c r="B405" s="11"/>
      <c r="C405" s="11"/>
      <c r="D405" s="11"/>
      <c r="E405" s="11"/>
      <c r="F405" s="11"/>
      <c r="G405" s="11"/>
      <c r="H405" s="11"/>
      <c r="I405" s="11"/>
      <c r="J405" s="11"/>
      <c r="K405" s="11"/>
      <c r="L405" s="15"/>
      <c r="M405" s="15"/>
      <c r="N405" s="15"/>
      <c r="O405" s="15"/>
      <c r="P405" s="15"/>
      <c r="Q405" s="11"/>
      <c r="R405" s="11"/>
      <c r="S405" s="11"/>
      <c r="T405" s="11"/>
      <c r="U405" s="15"/>
      <c r="V405" s="11"/>
      <c r="W405" s="11"/>
      <c r="X405" s="11"/>
      <c r="Y405" s="11"/>
      <c r="Z405" s="11"/>
    </row>
    <row r="406">
      <c r="A406" s="18"/>
      <c r="B406" s="11"/>
      <c r="C406" s="11"/>
      <c r="D406" s="11"/>
      <c r="E406" s="11"/>
      <c r="F406" s="11"/>
      <c r="G406" s="11"/>
      <c r="H406" s="11"/>
      <c r="I406" s="11"/>
      <c r="J406" s="11"/>
      <c r="K406" s="11"/>
      <c r="L406" s="15"/>
      <c r="M406" s="15"/>
      <c r="N406" s="15"/>
      <c r="O406" s="15"/>
      <c r="P406" s="15"/>
      <c r="Q406" s="11"/>
      <c r="R406" s="11"/>
      <c r="S406" s="11"/>
      <c r="T406" s="11"/>
      <c r="U406" s="15"/>
      <c r="V406" s="11"/>
      <c r="W406" s="11"/>
      <c r="X406" s="11"/>
      <c r="Y406" s="11"/>
      <c r="Z406" s="11"/>
    </row>
    <row r="407">
      <c r="A407" s="18"/>
      <c r="B407" s="11"/>
      <c r="C407" s="11"/>
      <c r="D407" s="11"/>
      <c r="E407" s="11"/>
      <c r="F407" s="11"/>
      <c r="G407" s="11"/>
      <c r="H407" s="11"/>
      <c r="I407" s="11"/>
      <c r="J407" s="11"/>
      <c r="K407" s="11"/>
      <c r="L407" s="15"/>
      <c r="M407" s="15"/>
      <c r="N407" s="15"/>
      <c r="O407" s="15"/>
      <c r="P407" s="15"/>
      <c r="Q407" s="11"/>
      <c r="R407" s="11"/>
      <c r="S407" s="11"/>
      <c r="T407" s="11"/>
      <c r="U407" s="15"/>
      <c r="V407" s="11"/>
      <c r="W407" s="11"/>
      <c r="X407" s="11"/>
      <c r="Y407" s="11"/>
      <c r="Z407" s="11"/>
    </row>
    <row r="408">
      <c r="A408" s="18"/>
      <c r="B408" s="11"/>
      <c r="C408" s="11"/>
      <c r="D408" s="11"/>
      <c r="E408" s="11"/>
      <c r="F408" s="11"/>
      <c r="G408" s="11"/>
      <c r="H408" s="11"/>
      <c r="I408" s="11"/>
      <c r="J408" s="11"/>
      <c r="K408" s="11"/>
      <c r="L408" s="15"/>
      <c r="M408" s="15"/>
      <c r="N408" s="15"/>
      <c r="O408" s="15"/>
      <c r="P408" s="15"/>
      <c r="Q408" s="11"/>
      <c r="R408" s="11"/>
      <c r="S408" s="11"/>
      <c r="T408" s="11"/>
      <c r="U408" s="15"/>
      <c r="V408" s="11"/>
      <c r="W408" s="11"/>
      <c r="X408" s="11"/>
      <c r="Y408" s="11"/>
      <c r="Z408" s="11"/>
    </row>
    <row r="409">
      <c r="A409" s="18"/>
      <c r="B409" s="11"/>
      <c r="C409" s="11"/>
      <c r="D409" s="11"/>
      <c r="E409" s="11"/>
      <c r="F409" s="11"/>
      <c r="G409" s="11"/>
      <c r="H409" s="11"/>
      <c r="I409" s="11"/>
      <c r="J409" s="11"/>
      <c r="K409" s="11"/>
      <c r="L409" s="15"/>
      <c r="M409" s="15"/>
      <c r="N409" s="15"/>
      <c r="O409" s="15"/>
      <c r="P409" s="15"/>
      <c r="Q409" s="11"/>
      <c r="R409" s="11"/>
      <c r="S409" s="11"/>
      <c r="T409" s="11"/>
      <c r="U409" s="15"/>
      <c r="V409" s="11"/>
      <c r="W409" s="11"/>
      <c r="X409" s="11"/>
      <c r="Y409" s="11"/>
      <c r="Z409" s="11"/>
    </row>
    <row r="410">
      <c r="A410" s="18"/>
      <c r="B410" s="11"/>
      <c r="C410" s="11"/>
      <c r="D410" s="11"/>
      <c r="E410" s="11"/>
      <c r="F410" s="11"/>
      <c r="G410" s="11"/>
      <c r="H410" s="11"/>
      <c r="I410" s="11"/>
      <c r="J410" s="11"/>
      <c r="K410" s="11"/>
      <c r="L410" s="15"/>
      <c r="M410" s="15"/>
      <c r="N410" s="15"/>
      <c r="O410" s="15"/>
      <c r="P410" s="15"/>
      <c r="Q410" s="11"/>
      <c r="R410" s="11"/>
      <c r="S410" s="11"/>
      <c r="T410" s="11"/>
      <c r="U410" s="15"/>
      <c r="V410" s="11"/>
      <c r="W410" s="11"/>
      <c r="X410" s="11"/>
      <c r="Y410" s="11"/>
      <c r="Z410" s="11"/>
    </row>
    <row r="411">
      <c r="A411" s="18"/>
      <c r="B411" s="11"/>
      <c r="C411" s="11"/>
      <c r="D411" s="11"/>
      <c r="E411" s="11"/>
      <c r="F411" s="11"/>
      <c r="G411" s="11"/>
      <c r="H411" s="11"/>
      <c r="I411" s="11"/>
      <c r="J411" s="11"/>
      <c r="K411" s="11"/>
      <c r="L411" s="15"/>
      <c r="M411" s="15"/>
      <c r="N411" s="15"/>
      <c r="O411" s="15"/>
      <c r="P411" s="15"/>
      <c r="Q411" s="11"/>
      <c r="R411" s="11"/>
      <c r="S411" s="11"/>
      <c r="T411" s="11"/>
      <c r="U411" s="15"/>
      <c r="V411" s="11"/>
      <c r="W411" s="11"/>
      <c r="X411" s="11"/>
      <c r="Y411" s="11"/>
      <c r="Z411" s="11"/>
    </row>
    <row r="412">
      <c r="A412" s="18"/>
      <c r="B412" s="11"/>
      <c r="C412" s="11"/>
      <c r="D412" s="11"/>
      <c r="E412" s="11"/>
      <c r="F412" s="11"/>
      <c r="G412" s="11"/>
      <c r="H412" s="11"/>
      <c r="I412" s="11"/>
      <c r="J412" s="11"/>
      <c r="K412" s="11"/>
      <c r="L412" s="15"/>
      <c r="M412" s="15"/>
      <c r="N412" s="15"/>
      <c r="O412" s="15"/>
      <c r="P412" s="15"/>
      <c r="Q412" s="11"/>
      <c r="R412" s="11"/>
      <c r="S412" s="11"/>
      <c r="T412" s="11"/>
      <c r="U412" s="15"/>
      <c r="V412" s="11"/>
      <c r="W412" s="11"/>
      <c r="X412" s="11"/>
      <c r="Y412" s="11"/>
      <c r="Z412" s="11"/>
    </row>
    <row r="413">
      <c r="A413" s="18"/>
      <c r="B413" s="11"/>
      <c r="C413" s="11"/>
      <c r="D413" s="11"/>
      <c r="E413" s="11"/>
      <c r="F413" s="11"/>
      <c r="G413" s="11"/>
      <c r="H413" s="11"/>
      <c r="I413" s="11"/>
      <c r="J413" s="11"/>
      <c r="K413" s="11"/>
      <c r="L413" s="15"/>
      <c r="M413" s="15"/>
      <c r="N413" s="15"/>
      <c r="O413" s="15"/>
      <c r="P413" s="15"/>
      <c r="Q413" s="11"/>
      <c r="R413" s="11"/>
      <c r="S413" s="11"/>
      <c r="T413" s="11"/>
      <c r="U413" s="15"/>
      <c r="V413" s="11"/>
      <c r="W413" s="11"/>
      <c r="X413" s="11"/>
      <c r="Y413" s="11"/>
      <c r="Z413" s="11"/>
    </row>
    <row r="414">
      <c r="A414" s="18"/>
      <c r="B414" s="11"/>
      <c r="C414" s="11"/>
      <c r="D414" s="11"/>
      <c r="E414" s="11"/>
      <c r="F414" s="11"/>
      <c r="G414" s="11"/>
      <c r="H414" s="11"/>
      <c r="I414" s="11"/>
      <c r="J414" s="11"/>
      <c r="K414" s="11"/>
      <c r="L414" s="15"/>
      <c r="M414" s="15"/>
      <c r="N414" s="15"/>
      <c r="O414" s="15"/>
      <c r="P414" s="15"/>
      <c r="Q414" s="11"/>
      <c r="R414" s="11"/>
      <c r="S414" s="11"/>
      <c r="T414" s="11"/>
      <c r="U414" s="15"/>
      <c r="V414" s="11"/>
      <c r="W414" s="11"/>
      <c r="X414" s="11"/>
      <c r="Y414" s="11"/>
      <c r="Z414" s="11"/>
    </row>
    <row r="415">
      <c r="A415" s="18"/>
      <c r="B415" s="11"/>
      <c r="C415" s="11"/>
      <c r="D415" s="11"/>
      <c r="E415" s="11"/>
      <c r="F415" s="11"/>
      <c r="G415" s="11"/>
      <c r="H415" s="11"/>
      <c r="I415" s="11"/>
      <c r="J415" s="11"/>
      <c r="K415" s="11"/>
      <c r="L415" s="15"/>
      <c r="M415" s="15"/>
      <c r="N415" s="15"/>
      <c r="O415" s="15"/>
      <c r="P415" s="15"/>
      <c r="Q415" s="11"/>
      <c r="R415" s="11"/>
      <c r="S415" s="11"/>
      <c r="T415" s="11"/>
      <c r="U415" s="15"/>
      <c r="V415" s="11"/>
      <c r="W415" s="11"/>
      <c r="X415" s="11"/>
      <c r="Y415" s="11"/>
      <c r="Z415" s="11"/>
    </row>
    <row r="416">
      <c r="A416" s="18"/>
      <c r="B416" s="11"/>
      <c r="C416" s="11"/>
      <c r="D416" s="11"/>
      <c r="E416" s="11"/>
      <c r="F416" s="11"/>
      <c r="G416" s="11"/>
      <c r="H416" s="11"/>
      <c r="I416" s="11"/>
      <c r="J416" s="11"/>
      <c r="K416" s="11"/>
      <c r="L416" s="15"/>
      <c r="M416" s="15"/>
      <c r="N416" s="15"/>
      <c r="O416" s="15"/>
      <c r="P416" s="15"/>
      <c r="Q416" s="11"/>
      <c r="R416" s="11"/>
      <c r="S416" s="11"/>
      <c r="T416" s="11"/>
      <c r="U416" s="15"/>
      <c r="V416" s="11"/>
      <c r="W416" s="11"/>
      <c r="X416" s="11"/>
      <c r="Y416" s="11"/>
      <c r="Z416" s="11"/>
    </row>
    <row r="417">
      <c r="A417" s="18"/>
      <c r="B417" s="11"/>
      <c r="C417" s="11"/>
      <c r="D417" s="11"/>
      <c r="E417" s="11"/>
      <c r="F417" s="11"/>
      <c r="G417" s="11"/>
      <c r="H417" s="11"/>
      <c r="I417" s="11"/>
      <c r="J417" s="11"/>
      <c r="K417" s="11"/>
      <c r="L417" s="15"/>
      <c r="M417" s="15"/>
      <c r="N417" s="15"/>
      <c r="O417" s="15"/>
      <c r="P417" s="15"/>
      <c r="Q417" s="11"/>
      <c r="R417" s="11"/>
      <c r="S417" s="11"/>
      <c r="T417" s="11"/>
      <c r="U417" s="15"/>
      <c r="V417" s="11"/>
      <c r="W417" s="11"/>
      <c r="X417" s="11"/>
      <c r="Y417" s="11"/>
      <c r="Z417" s="11"/>
    </row>
    <row r="418">
      <c r="A418" s="18"/>
      <c r="B418" s="11"/>
      <c r="C418" s="11"/>
      <c r="D418" s="11"/>
      <c r="E418" s="11"/>
      <c r="F418" s="11"/>
      <c r="G418" s="11"/>
      <c r="H418" s="11"/>
      <c r="I418" s="11"/>
      <c r="J418" s="11"/>
      <c r="K418" s="11"/>
      <c r="L418" s="15"/>
      <c r="M418" s="15"/>
      <c r="N418" s="15"/>
      <c r="O418" s="15"/>
      <c r="P418" s="15"/>
      <c r="Q418" s="11"/>
      <c r="R418" s="11"/>
      <c r="S418" s="11"/>
      <c r="T418" s="11"/>
      <c r="U418" s="15"/>
      <c r="V418" s="11"/>
      <c r="W418" s="11"/>
      <c r="X418" s="11"/>
      <c r="Y418" s="11"/>
      <c r="Z418" s="11"/>
    </row>
    <row r="419">
      <c r="A419" s="18"/>
      <c r="B419" s="11"/>
      <c r="C419" s="11"/>
      <c r="D419" s="11"/>
      <c r="E419" s="11"/>
      <c r="F419" s="11"/>
      <c r="G419" s="11"/>
      <c r="H419" s="11"/>
      <c r="I419" s="11"/>
      <c r="J419" s="11"/>
      <c r="K419" s="11"/>
      <c r="L419" s="15"/>
      <c r="M419" s="15"/>
      <c r="N419" s="15"/>
      <c r="O419" s="15"/>
      <c r="P419" s="15"/>
      <c r="Q419" s="11"/>
      <c r="R419" s="11"/>
      <c r="S419" s="11"/>
      <c r="T419" s="11"/>
      <c r="U419" s="15"/>
      <c r="V419" s="11"/>
      <c r="W419" s="11"/>
      <c r="X419" s="11"/>
      <c r="Y419" s="11"/>
      <c r="Z419" s="11"/>
    </row>
    <row r="420">
      <c r="A420" s="18"/>
      <c r="B420" s="11"/>
      <c r="C420" s="11"/>
      <c r="D420" s="11"/>
      <c r="E420" s="11"/>
      <c r="F420" s="11"/>
      <c r="G420" s="11"/>
      <c r="H420" s="11"/>
      <c r="I420" s="11"/>
      <c r="J420" s="11"/>
      <c r="K420" s="11"/>
      <c r="L420" s="15"/>
      <c r="M420" s="15"/>
      <c r="N420" s="15"/>
      <c r="O420" s="15"/>
      <c r="P420" s="15"/>
      <c r="Q420" s="11"/>
      <c r="R420" s="11"/>
      <c r="S420" s="11"/>
      <c r="T420" s="11"/>
      <c r="U420" s="15"/>
      <c r="V420" s="11"/>
      <c r="W420" s="11"/>
      <c r="X420" s="11"/>
      <c r="Y420" s="11"/>
      <c r="Z420" s="11"/>
    </row>
    <row r="421">
      <c r="A421" s="18"/>
      <c r="B421" s="11"/>
      <c r="C421" s="11"/>
      <c r="D421" s="11"/>
      <c r="E421" s="11"/>
      <c r="F421" s="11"/>
      <c r="G421" s="11"/>
      <c r="H421" s="11"/>
      <c r="I421" s="11"/>
      <c r="J421" s="11"/>
      <c r="K421" s="11"/>
      <c r="L421" s="15"/>
      <c r="M421" s="15"/>
      <c r="N421" s="15"/>
      <c r="O421" s="15"/>
      <c r="P421" s="15"/>
      <c r="Q421" s="11"/>
      <c r="R421" s="11"/>
      <c r="S421" s="11"/>
      <c r="T421" s="11"/>
      <c r="U421" s="15"/>
      <c r="V421" s="11"/>
      <c r="W421" s="11"/>
      <c r="X421" s="11"/>
      <c r="Y421" s="11"/>
      <c r="Z421" s="11"/>
    </row>
    <row r="422">
      <c r="A422" s="18"/>
      <c r="B422" s="11"/>
      <c r="C422" s="11"/>
      <c r="D422" s="11"/>
      <c r="E422" s="11"/>
      <c r="F422" s="11"/>
      <c r="G422" s="11"/>
      <c r="H422" s="11"/>
      <c r="I422" s="11"/>
      <c r="J422" s="11"/>
      <c r="K422" s="11"/>
      <c r="L422" s="15"/>
      <c r="M422" s="15"/>
      <c r="N422" s="15"/>
      <c r="O422" s="15"/>
      <c r="P422" s="15"/>
      <c r="Q422" s="11"/>
      <c r="R422" s="11"/>
      <c r="S422" s="11"/>
      <c r="T422" s="11"/>
      <c r="U422" s="15"/>
      <c r="V422" s="11"/>
      <c r="W422" s="11"/>
      <c r="X422" s="11"/>
      <c r="Y422" s="11"/>
      <c r="Z422" s="11"/>
    </row>
    <row r="423">
      <c r="A423" s="18"/>
      <c r="B423" s="11"/>
      <c r="C423" s="11"/>
      <c r="D423" s="11"/>
      <c r="E423" s="11"/>
      <c r="F423" s="11"/>
      <c r="G423" s="11"/>
      <c r="H423" s="11"/>
      <c r="I423" s="11"/>
      <c r="J423" s="11"/>
      <c r="K423" s="11"/>
      <c r="L423" s="15"/>
      <c r="M423" s="15"/>
      <c r="N423" s="15"/>
      <c r="O423" s="15"/>
      <c r="P423" s="15"/>
      <c r="Q423" s="11"/>
      <c r="R423" s="11"/>
      <c r="S423" s="11"/>
      <c r="T423" s="11"/>
      <c r="U423" s="15"/>
      <c r="V423" s="11"/>
      <c r="W423" s="11"/>
      <c r="X423" s="11"/>
      <c r="Y423" s="11"/>
      <c r="Z423" s="11"/>
    </row>
    <row r="424">
      <c r="A424" s="18"/>
      <c r="B424" s="11"/>
      <c r="C424" s="11"/>
      <c r="D424" s="11"/>
      <c r="E424" s="11"/>
      <c r="F424" s="11"/>
      <c r="G424" s="11"/>
      <c r="H424" s="11"/>
      <c r="I424" s="11"/>
      <c r="J424" s="11"/>
      <c r="K424" s="11"/>
      <c r="L424" s="15"/>
      <c r="M424" s="15"/>
      <c r="N424" s="15"/>
      <c r="O424" s="15"/>
      <c r="P424" s="15"/>
      <c r="Q424" s="11"/>
      <c r="R424" s="11"/>
      <c r="S424" s="11"/>
      <c r="T424" s="11"/>
      <c r="U424" s="15"/>
      <c r="V424" s="11"/>
      <c r="W424" s="11"/>
      <c r="X424" s="11"/>
      <c r="Y424" s="11"/>
      <c r="Z424" s="11"/>
    </row>
    <row r="425">
      <c r="A425" s="18"/>
      <c r="B425" s="11"/>
      <c r="C425" s="11"/>
      <c r="D425" s="11"/>
      <c r="E425" s="11"/>
      <c r="F425" s="11"/>
      <c r="G425" s="11"/>
      <c r="H425" s="11"/>
      <c r="I425" s="11"/>
      <c r="J425" s="11"/>
      <c r="K425" s="11"/>
      <c r="L425" s="15"/>
      <c r="M425" s="15"/>
      <c r="N425" s="15"/>
      <c r="O425" s="15"/>
      <c r="P425" s="15"/>
      <c r="Q425" s="11"/>
      <c r="R425" s="11"/>
      <c r="S425" s="11"/>
      <c r="T425" s="11"/>
      <c r="U425" s="15"/>
      <c r="V425" s="11"/>
      <c r="W425" s="11"/>
      <c r="X425" s="11"/>
      <c r="Y425" s="11"/>
      <c r="Z425" s="11"/>
    </row>
    <row r="426">
      <c r="A426" s="18"/>
      <c r="B426" s="11"/>
      <c r="C426" s="11"/>
      <c r="D426" s="11"/>
      <c r="E426" s="11"/>
      <c r="F426" s="11"/>
      <c r="G426" s="11"/>
      <c r="H426" s="11"/>
      <c r="I426" s="11"/>
      <c r="J426" s="11"/>
      <c r="K426" s="11"/>
      <c r="L426" s="15"/>
      <c r="M426" s="15"/>
      <c r="N426" s="15"/>
      <c r="O426" s="15"/>
      <c r="P426" s="15"/>
      <c r="Q426" s="11"/>
      <c r="R426" s="11"/>
      <c r="S426" s="11"/>
      <c r="T426" s="11"/>
      <c r="U426" s="15"/>
      <c r="V426" s="11"/>
      <c r="W426" s="11"/>
      <c r="X426" s="11"/>
      <c r="Y426" s="11"/>
      <c r="Z426" s="11"/>
    </row>
    <row r="427">
      <c r="A427" s="18"/>
      <c r="B427" s="11"/>
      <c r="C427" s="11"/>
      <c r="D427" s="11"/>
      <c r="E427" s="11"/>
      <c r="F427" s="11"/>
      <c r="G427" s="11"/>
      <c r="H427" s="11"/>
      <c r="I427" s="11"/>
      <c r="J427" s="11"/>
      <c r="K427" s="11"/>
      <c r="L427" s="15"/>
      <c r="M427" s="15"/>
      <c r="N427" s="15"/>
      <c r="O427" s="15"/>
      <c r="P427" s="15"/>
      <c r="Q427" s="11"/>
      <c r="R427" s="11"/>
      <c r="S427" s="11"/>
      <c r="T427" s="11"/>
      <c r="U427" s="15"/>
      <c r="V427" s="11"/>
      <c r="W427" s="11"/>
      <c r="X427" s="11"/>
      <c r="Y427" s="11"/>
      <c r="Z427" s="11"/>
    </row>
    <row r="428">
      <c r="A428" s="18"/>
      <c r="B428" s="11"/>
      <c r="C428" s="11"/>
      <c r="D428" s="11"/>
      <c r="E428" s="11"/>
      <c r="F428" s="11"/>
      <c r="G428" s="11"/>
      <c r="H428" s="11"/>
      <c r="I428" s="11"/>
      <c r="J428" s="11"/>
      <c r="K428" s="11"/>
      <c r="L428" s="15"/>
      <c r="M428" s="15"/>
      <c r="N428" s="15"/>
      <c r="O428" s="15"/>
      <c r="P428" s="15"/>
      <c r="Q428" s="11"/>
      <c r="R428" s="11"/>
      <c r="S428" s="11"/>
      <c r="T428" s="11"/>
      <c r="U428" s="15"/>
      <c r="V428" s="11"/>
      <c r="W428" s="11"/>
      <c r="X428" s="11"/>
      <c r="Y428" s="11"/>
      <c r="Z428" s="11"/>
    </row>
    <row r="429">
      <c r="A429" s="18"/>
      <c r="B429" s="11"/>
      <c r="C429" s="11"/>
      <c r="D429" s="11"/>
      <c r="E429" s="11"/>
      <c r="F429" s="11"/>
      <c r="G429" s="11"/>
      <c r="H429" s="11"/>
      <c r="I429" s="11"/>
      <c r="J429" s="11"/>
      <c r="K429" s="11"/>
      <c r="L429" s="15"/>
      <c r="M429" s="15"/>
      <c r="N429" s="15"/>
      <c r="O429" s="15"/>
      <c r="P429" s="15"/>
      <c r="Q429" s="11"/>
      <c r="R429" s="11"/>
      <c r="S429" s="11"/>
      <c r="T429" s="11"/>
      <c r="U429" s="15"/>
      <c r="V429" s="11"/>
      <c r="W429" s="11"/>
      <c r="X429" s="11"/>
      <c r="Y429" s="11"/>
      <c r="Z429" s="11"/>
    </row>
    <row r="430">
      <c r="A430" s="18"/>
      <c r="B430" s="11"/>
      <c r="C430" s="11"/>
      <c r="D430" s="11"/>
      <c r="E430" s="11"/>
      <c r="F430" s="11"/>
      <c r="G430" s="11"/>
      <c r="H430" s="11"/>
      <c r="I430" s="11"/>
      <c r="J430" s="11"/>
      <c r="K430" s="11"/>
      <c r="L430" s="15"/>
      <c r="M430" s="15"/>
      <c r="N430" s="15"/>
      <c r="O430" s="15"/>
      <c r="P430" s="15"/>
      <c r="Q430" s="11"/>
      <c r="R430" s="11"/>
      <c r="S430" s="11"/>
      <c r="T430" s="11"/>
      <c r="U430" s="15"/>
      <c r="V430" s="11"/>
      <c r="W430" s="11"/>
      <c r="X430" s="11"/>
      <c r="Y430" s="11"/>
      <c r="Z430" s="11"/>
    </row>
    <row r="431">
      <c r="A431" s="18"/>
      <c r="B431" s="11"/>
      <c r="C431" s="11"/>
      <c r="D431" s="11"/>
      <c r="E431" s="11"/>
      <c r="F431" s="11"/>
      <c r="G431" s="11"/>
      <c r="H431" s="11"/>
      <c r="I431" s="11"/>
      <c r="J431" s="11"/>
      <c r="K431" s="11"/>
      <c r="L431" s="15"/>
      <c r="M431" s="15"/>
      <c r="N431" s="15"/>
      <c r="O431" s="15"/>
      <c r="P431" s="15"/>
      <c r="Q431" s="11"/>
      <c r="R431" s="11"/>
      <c r="S431" s="11"/>
      <c r="T431" s="11"/>
      <c r="U431" s="15"/>
      <c r="V431" s="11"/>
      <c r="W431" s="11"/>
      <c r="X431" s="11"/>
      <c r="Y431" s="11"/>
      <c r="Z431" s="11"/>
    </row>
    <row r="432">
      <c r="A432" s="18"/>
      <c r="B432" s="11"/>
      <c r="C432" s="11"/>
      <c r="D432" s="11"/>
      <c r="E432" s="11"/>
      <c r="F432" s="11"/>
      <c r="G432" s="11"/>
      <c r="H432" s="11"/>
      <c r="I432" s="11"/>
      <c r="J432" s="11"/>
      <c r="K432" s="11"/>
      <c r="L432" s="15"/>
      <c r="M432" s="15"/>
      <c r="N432" s="15"/>
      <c r="O432" s="15"/>
      <c r="P432" s="15"/>
      <c r="Q432" s="11"/>
      <c r="R432" s="11"/>
      <c r="S432" s="11"/>
      <c r="T432" s="11"/>
      <c r="U432" s="15"/>
      <c r="V432" s="11"/>
      <c r="W432" s="11"/>
      <c r="X432" s="11"/>
      <c r="Y432" s="11"/>
      <c r="Z432" s="11"/>
    </row>
    <row r="433">
      <c r="A433" s="18"/>
      <c r="B433" s="11"/>
      <c r="C433" s="11"/>
      <c r="D433" s="11"/>
      <c r="E433" s="11"/>
      <c r="F433" s="11"/>
      <c r="G433" s="11"/>
      <c r="H433" s="11"/>
      <c r="I433" s="11"/>
      <c r="J433" s="11"/>
      <c r="K433" s="11"/>
      <c r="L433" s="15"/>
      <c r="M433" s="15"/>
      <c r="N433" s="15"/>
      <c r="O433" s="15"/>
      <c r="P433" s="15"/>
      <c r="Q433" s="11"/>
      <c r="R433" s="11"/>
      <c r="S433" s="11"/>
      <c r="T433" s="11"/>
      <c r="U433" s="15"/>
      <c r="V433" s="11"/>
      <c r="W433" s="11"/>
      <c r="X433" s="11"/>
      <c r="Y433" s="11"/>
      <c r="Z433" s="11"/>
    </row>
    <row r="434">
      <c r="A434" s="18"/>
      <c r="B434" s="11"/>
      <c r="C434" s="11"/>
      <c r="D434" s="11"/>
      <c r="E434" s="11"/>
      <c r="F434" s="11"/>
      <c r="G434" s="11"/>
      <c r="H434" s="11"/>
      <c r="I434" s="11"/>
      <c r="J434" s="11"/>
      <c r="K434" s="11"/>
      <c r="L434" s="15"/>
      <c r="M434" s="15"/>
      <c r="N434" s="15"/>
      <c r="O434" s="15"/>
      <c r="P434" s="15"/>
      <c r="Q434" s="11"/>
      <c r="R434" s="11"/>
      <c r="S434" s="11"/>
      <c r="T434" s="11"/>
      <c r="U434" s="15"/>
      <c r="V434" s="11"/>
      <c r="W434" s="11"/>
      <c r="X434" s="11"/>
      <c r="Y434" s="11"/>
      <c r="Z434" s="11"/>
    </row>
    <row r="435">
      <c r="A435" s="18"/>
      <c r="B435" s="11"/>
      <c r="C435" s="11"/>
      <c r="D435" s="11"/>
      <c r="E435" s="11"/>
      <c r="F435" s="11"/>
      <c r="G435" s="11"/>
      <c r="H435" s="11"/>
      <c r="I435" s="11"/>
      <c r="J435" s="11"/>
      <c r="K435" s="11"/>
      <c r="L435" s="15"/>
      <c r="M435" s="15"/>
      <c r="N435" s="15"/>
      <c r="O435" s="15"/>
      <c r="P435" s="15"/>
      <c r="Q435" s="11"/>
      <c r="R435" s="11"/>
      <c r="S435" s="11"/>
      <c r="T435" s="11"/>
      <c r="U435" s="15"/>
      <c r="V435" s="11"/>
      <c r="W435" s="11"/>
      <c r="X435" s="11"/>
      <c r="Y435" s="11"/>
      <c r="Z435" s="11"/>
    </row>
    <row r="436">
      <c r="A436" s="18"/>
      <c r="B436" s="11"/>
      <c r="C436" s="11"/>
      <c r="D436" s="11"/>
      <c r="E436" s="11"/>
      <c r="F436" s="11"/>
      <c r="G436" s="11"/>
      <c r="H436" s="11"/>
      <c r="I436" s="11"/>
      <c r="J436" s="11"/>
      <c r="K436" s="11"/>
      <c r="L436" s="15"/>
      <c r="M436" s="15"/>
      <c r="N436" s="15"/>
      <c r="O436" s="15"/>
      <c r="P436" s="15"/>
      <c r="Q436" s="11"/>
      <c r="R436" s="11"/>
      <c r="S436" s="11"/>
      <c r="T436" s="11"/>
      <c r="U436" s="15"/>
      <c r="V436" s="11"/>
      <c r="W436" s="11"/>
      <c r="X436" s="11"/>
      <c r="Y436" s="11"/>
      <c r="Z436" s="11"/>
    </row>
    <row r="437">
      <c r="A437" s="18"/>
      <c r="B437" s="11"/>
      <c r="C437" s="11"/>
      <c r="D437" s="11"/>
      <c r="E437" s="11"/>
      <c r="F437" s="11"/>
      <c r="G437" s="11"/>
      <c r="H437" s="11"/>
      <c r="I437" s="11"/>
      <c r="J437" s="11"/>
      <c r="K437" s="11"/>
      <c r="L437" s="15"/>
      <c r="M437" s="15"/>
      <c r="N437" s="15"/>
      <c r="O437" s="15"/>
      <c r="P437" s="15"/>
      <c r="Q437" s="11"/>
      <c r="R437" s="11"/>
      <c r="S437" s="11"/>
      <c r="T437" s="11"/>
      <c r="U437" s="15"/>
      <c r="V437" s="11"/>
      <c r="W437" s="11"/>
      <c r="X437" s="11"/>
      <c r="Y437" s="11"/>
      <c r="Z437" s="11"/>
    </row>
    <row r="438">
      <c r="A438" s="18"/>
      <c r="B438" s="11"/>
      <c r="C438" s="11"/>
      <c r="D438" s="11"/>
      <c r="E438" s="11"/>
      <c r="F438" s="11"/>
      <c r="G438" s="11"/>
      <c r="H438" s="11"/>
      <c r="I438" s="11"/>
      <c r="J438" s="11"/>
      <c r="K438" s="11"/>
      <c r="L438" s="15"/>
      <c r="M438" s="15"/>
      <c r="N438" s="15"/>
      <c r="O438" s="15"/>
      <c r="P438" s="15"/>
      <c r="Q438" s="11"/>
      <c r="R438" s="11"/>
      <c r="S438" s="11"/>
      <c r="T438" s="11"/>
      <c r="U438" s="15"/>
      <c r="V438" s="11"/>
      <c r="W438" s="11"/>
      <c r="X438" s="11"/>
      <c r="Y438" s="11"/>
      <c r="Z438" s="11"/>
    </row>
    <row r="439">
      <c r="A439" s="18"/>
      <c r="B439" s="11"/>
      <c r="C439" s="11"/>
      <c r="D439" s="11"/>
      <c r="E439" s="11"/>
      <c r="F439" s="11"/>
      <c r="G439" s="11"/>
      <c r="H439" s="11"/>
      <c r="I439" s="11"/>
      <c r="J439" s="11"/>
      <c r="K439" s="11"/>
      <c r="L439" s="15"/>
      <c r="M439" s="15"/>
      <c r="N439" s="15"/>
      <c r="O439" s="15"/>
      <c r="P439" s="15"/>
      <c r="Q439" s="11"/>
      <c r="R439" s="11"/>
      <c r="S439" s="11"/>
      <c r="T439" s="11"/>
      <c r="U439" s="15"/>
      <c r="V439" s="11"/>
      <c r="W439" s="11"/>
      <c r="X439" s="11"/>
      <c r="Y439" s="11"/>
      <c r="Z439" s="11"/>
    </row>
    <row r="440">
      <c r="A440" s="18"/>
      <c r="B440" s="11"/>
      <c r="C440" s="11"/>
      <c r="D440" s="11"/>
      <c r="E440" s="11"/>
      <c r="F440" s="11"/>
      <c r="G440" s="11"/>
      <c r="H440" s="11"/>
      <c r="I440" s="11"/>
      <c r="J440" s="11"/>
      <c r="K440" s="11"/>
      <c r="L440" s="15"/>
      <c r="M440" s="15"/>
      <c r="N440" s="15"/>
      <c r="O440" s="15"/>
      <c r="P440" s="15"/>
      <c r="Q440" s="11"/>
      <c r="R440" s="11"/>
      <c r="S440" s="11"/>
      <c r="T440" s="11"/>
      <c r="U440" s="15"/>
      <c r="V440" s="11"/>
      <c r="W440" s="11"/>
      <c r="X440" s="11"/>
      <c r="Y440" s="11"/>
      <c r="Z440" s="11"/>
    </row>
    <row r="441">
      <c r="A441" s="18"/>
      <c r="B441" s="11"/>
      <c r="C441" s="11"/>
      <c r="D441" s="11"/>
      <c r="E441" s="11"/>
      <c r="F441" s="11"/>
      <c r="G441" s="11"/>
      <c r="H441" s="11"/>
      <c r="I441" s="11"/>
      <c r="J441" s="11"/>
      <c r="K441" s="11"/>
      <c r="L441" s="15"/>
      <c r="M441" s="15"/>
      <c r="N441" s="15"/>
      <c r="O441" s="15"/>
      <c r="P441" s="15"/>
      <c r="Q441" s="11"/>
      <c r="R441" s="11"/>
      <c r="S441" s="11"/>
      <c r="T441" s="11"/>
      <c r="U441" s="15"/>
      <c r="V441" s="11"/>
      <c r="W441" s="11"/>
      <c r="X441" s="11"/>
      <c r="Y441" s="11"/>
      <c r="Z441" s="11"/>
    </row>
    <row r="442">
      <c r="A442" s="18"/>
      <c r="B442" s="11"/>
      <c r="C442" s="11"/>
      <c r="D442" s="11"/>
      <c r="E442" s="11"/>
      <c r="F442" s="11"/>
      <c r="G442" s="11"/>
      <c r="H442" s="11"/>
      <c r="I442" s="11"/>
      <c r="J442" s="11"/>
      <c r="K442" s="11"/>
      <c r="L442" s="15"/>
      <c r="M442" s="15"/>
      <c r="N442" s="15"/>
      <c r="O442" s="15"/>
      <c r="P442" s="15"/>
      <c r="Q442" s="11"/>
      <c r="R442" s="11"/>
      <c r="S442" s="11"/>
      <c r="T442" s="11"/>
      <c r="U442" s="15"/>
      <c r="V442" s="11"/>
      <c r="W442" s="11"/>
      <c r="X442" s="11"/>
      <c r="Y442" s="11"/>
      <c r="Z442" s="11"/>
    </row>
    <row r="443">
      <c r="A443" s="18"/>
      <c r="B443" s="11"/>
      <c r="C443" s="11"/>
      <c r="D443" s="11"/>
      <c r="E443" s="11"/>
      <c r="F443" s="11"/>
      <c r="G443" s="11"/>
      <c r="H443" s="11"/>
      <c r="I443" s="11"/>
      <c r="J443" s="11"/>
      <c r="K443" s="11"/>
      <c r="L443" s="15"/>
      <c r="M443" s="15"/>
      <c r="N443" s="15"/>
      <c r="O443" s="15"/>
      <c r="P443" s="15"/>
      <c r="Q443" s="11"/>
      <c r="R443" s="11"/>
      <c r="S443" s="11"/>
      <c r="T443" s="11"/>
      <c r="U443" s="15"/>
      <c r="V443" s="11"/>
      <c r="W443" s="11"/>
      <c r="X443" s="11"/>
      <c r="Y443" s="11"/>
      <c r="Z443" s="11"/>
    </row>
    <row r="444">
      <c r="A444" s="18"/>
      <c r="B444" s="11"/>
      <c r="C444" s="11"/>
      <c r="D444" s="11"/>
      <c r="E444" s="11"/>
      <c r="F444" s="11"/>
      <c r="G444" s="11"/>
      <c r="H444" s="11"/>
      <c r="I444" s="11"/>
      <c r="J444" s="11"/>
      <c r="K444" s="11"/>
      <c r="L444" s="15"/>
      <c r="M444" s="15"/>
      <c r="N444" s="15"/>
      <c r="O444" s="15"/>
      <c r="P444" s="15"/>
      <c r="Q444" s="11"/>
      <c r="R444" s="11"/>
      <c r="S444" s="11"/>
      <c r="T444" s="11"/>
      <c r="U444" s="15"/>
      <c r="V444" s="11"/>
      <c r="W444" s="11"/>
      <c r="X444" s="11"/>
      <c r="Y444" s="11"/>
      <c r="Z444" s="11"/>
    </row>
    <row r="445">
      <c r="A445" s="18"/>
      <c r="B445" s="11"/>
      <c r="C445" s="11"/>
      <c r="D445" s="11"/>
      <c r="E445" s="11"/>
      <c r="F445" s="11"/>
      <c r="G445" s="11"/>
      <c r="H445" s="11"/>
      <c r="I445" s="11"/>
      <c r="J445" s="11"/>
      <c r="K445" s="11"/>
      <c r="L445" s="15"/>
      <c r="M445" s="15"/>
      <c r="N445" s="15"/>
      <c r="O445" s="15"/>
      <c r="P445" s="15"/>
      <c r="Q445" s="11"/>
      <c r="R445" s="11"/>
      <c r="S445" s="11"/>
      <c r="T445" s="11"/>
      <c r="U445" s="15"/>
      <c r="V445" s="11"/>
      <c r="W445" s="11"/>
      <c r="X445" s="11"/>
      <c r="Y445" s="11"/>
      <c r="Z445" s="11"/>
    </row>
    <row r="446">
      <c r="A446" s="18"/>
      <c r="B446" s="11"/>
      <c r="C446" s="11"/>
      <c r="D446" s="11"/>
      <c r="E446" s="11"/>
      <c r="F446" s="11"/>
      <c r="G446" s="11"/>
      <c r="H446" s="11"/>
      <c r="I446" s="11"/>
      <c r="J446" s="11"/>
      <c r="K446" s="11"/>
      <c r="L446" s="15"/>
      <c r="M446" s="15"/>
      <c r="N446" s="15"/>
      <c r="O446" s="15"/>
      <c r="P446" s="15"/>
      <c r="Q446" s="11"/>
      <c r="R446" s="11"/>
      <c r="S446" s="11"/>
      <c r="T446" s="11"/>
      <c r="U446" s="15"/>
      <c r="V446" s="11"/>
      <c r="W446" s="11"/>
      <c r="X446" s="11"/>
      <c r="Y446" s="11"/>
      <c r="Z446" s="11"/>
    </row>
    <row r="447">
      <c r="A447" s="18"/>
      <c r="B447" s="11"/>
      <c r="C447" s="11"/>
      <c r="D447" s="11"/>
      <c r="E447" s="11"/>
      <c r="F447" s="11"/>
      <c r="G447" s="11"/>
      <c r="H447" s="11"/>
      <c r="I447" s="11"/>
      <c r="J447" s="11"/>
      <c r="K447" s="11"/>
      <c r="L447" s="15"/>
      <c r="M447" s="15"/>
      <c r="N447" s="15"/>
      <c r="O447" s="15"/>
      <c r="P447" s="15"/>
      <c r="Q447" s="11"/>
      <c r="R447" s="11"/>
      <c r="S447" s="11"/>
      <c r="T447" s="11"/>
      <c r="U447" s="15"/>
      <c r="V447" s="11"/>
      <c r="W447" s="11"/>
      <c r="X447" s="11"/>
      <c r="Y447" s="11"/>
      <c r="Z447" s="11"/>
    </row>
    <row r="448">
      <c r="A448" s="18"/>
      <c r="B448" s="11"/>
      <c r="C448" s="11"/>
      <c r="D448" s="11"/>
      <c r="E448" s="11"/>
      <c r="F448" s="11"/>
      <c r="G448" s="11"/>
      <c r="H448" s="11"/>
      <c r="I448" s="11"/>
      <c r="J448" s="11"/>
      <c r="K448" s="11"/>
      <c r="L448" s="15"/>
      <c r="M448" s="15"/>
      <c r="N448" s="15"/>
      <c r="O448" s="15"/>
      <c r="P448" s="15"/>
      <c r="Q448" s="11"/>
      <c r="R448" s="11"/>
      <c r="S448" s="11"/>
      <c r="T448" s="11"/>
      <c r="U448" s="15"/>
      <c r="V448" s="11"/>
      <c r="W448" s="11"/>
      <c r="X448" s="11"/>
      <c r="Y448" s="11"/>
      <c r="Z448" s="11"/>
    </row>
    <row r="449">
      <c r="A449" s="18"/>
      <c r="B449" s="11"/>
      <c r="C449" s="11"/>
      <c r="D449" s="11"/>
      <c r="E449" s="11"/>
      <c r="F449" s="11"/>
      <c r="G449" s="11"/>
      <c r="H449" s="11"/>
      <c r="I449" s="11"/>
      <c r="J449" s="11"/>
      <c r="K449" s="11"/>
      <c r="L449" s="15"/>
      <c r="M449" s="15"/>
      <c r="N449" s="15"/>
      <c r="O449" s="15"/>
      <c r="P449" s="15"/>
      <c r="Q449" s="11"/>
      <c r="R449" s="11"/>
      <c r="S449" s="11"/>
      <c r="T449" s="11"/>
      <c r="U449" s="15"/>
      <c r="V449" s="11"/>
      <c r="W449" s="11"/>
      <c r="X449" s="11"/>
      <c r="Y449" s="11"/>
      <c r="Z449" s="11"/>
    </row>
    <row r="450">
      <c r="A450" s="18"/>
      <c r="B450" s="11"/>
      <c r="C450" s="11"/>
      <c r="D450" s="11"/>
      <c r="E450" s="11"/>
      <c r="F450" s="11"/>
      <c r="G450" s="11"/>
      <c r="H450" s="11"/>
      <c r="I450" s="11"/>
      <c r="J450" s="11"/>
      <c r="K450" s="11"/>
      <c r="L450" s="15"/>
      <c r="M450" s="15"/>
      <c r="N450" s="15"/>
      <c r="O450" s="15"/>
      <c r="P450" s="15"/>
      <c r="Q450" s="11"/>
      <c r="R450" s="11"/>
      <c r="S450" s="11"/>
      <c r="T450" s="11"/>
      <c r="U450" s="15"/>
      <c r="V450" s="11"/>
      <c r="W450" s="11"/>
      <c r="X450" s="11"/>
      <c r="Y450" s="11"/>
      <c r="Z450" s="11"/>
    </row>
    <row r="451">
      <c r="A451" s="18"/>
      <c r="B451" s="11"/>
      <c r="C451" s="11"/>
      <c r="D451" s="11"/>
      <c r="E451" s="11"/>
      <c r="F451" s="11"/>
      <c r="G451" s="11"/>
      <c r="H451" s="11"/>
      <c r="I451" s="11"/>
      <c r="J451" s="11"/>
      <c r="K451" s="11"/>
      <c r="L451" s="15"/>
      <c r="M451" s="15"/>
      <c r="N451" s="15"/>
      <c r="O451" s="15"/>
      <c r="P451" s="15"/>
      <c r="Q451" s="11"/>
      <c r="R451" s="11"/>
      <c r="S451" s="11"/>
      <c r="T451" s="11"/>
      <c r="U451" s="15"/>
      <c r="V451" s="11"/>
      <c r="W451" s="11"/>
      <c r="X451" s="11"/>
      <c r="Y451" s="11"/>
      <c r="Z451" s="11"/>
    </row>
    <row r="452">
      <c r="A452" s="18"/>
      <c r="B452" s="11"/>
      <c r="C452" s="11"/>
      <c r="D452" s="11"/>
      <c r="E452" s="11"/>
      <c r="F452" s="11"/>
      <c r="G452" s="11"/>
      <c r="H452" s="11"/>
      <c r="I452" s="11"/>
      <c r="J452" s="11"/>
      <c r="K452" s="11"/>
      <c r="L452" s="15"/>
      <c r="M452" s="15"/>
      <c r="N452" s="15"/>
      <c r="O452" s="15"/>
      <c r="P452" s="15"/>
      <c r="Q452" s="11"/>
      <c r="R452" s="11"/>
      <c r="S452" s="11"/>
      <c r="T452" s="11"/>
      <c r="U452" s="15"/>
      <c r="V452" s="11"/>
      <c r="W452" s="11"/>
      <c r="X452" s="11"/>
      <c r="Y452" s="11"/>
      <c r="Z452" s="11"/>
    </row>
    <row r="453">
      <c r="A453" s="18"/>
      <c r="B453" s="11"/>
      <c r="C453" s="11"/>
      <c r="D453" s="11"/>
      <c r="E453" s="11"/>
      <c r="F453" s="11"/>
      <c r="G453" s="11"/>
      <c r="H453" s="11"/>
      <c r="I453" s="11"/>
      <c r="J453" s="11"/>
      <c r="K453" s="11"/>
      <c r="L453" s="15"/>
      <c r="M453" s="15"/>
      <c r="N453" s="15"/>
      <c r="O453" s="15"/>
      <c r="P453" s="15"/>
      <c r="Q453" s="11"/>
      <c r="R453" s="11"/>
      <c r="S453" s="11"/>
      <c r="T453" s="11"/>
      <c r="U453" s="15"/>
      <c r="V453" s="11"/>
      <c r="W453" s="11"/>
      <c r="X453" s="11"/>
      <c r="Y453" s="11"/>
      <c r="Z453" s="11"/>
    </row>
    <row r="454">
      <c r="A454" s="18"/>
      <c r="B454" s="11"/>
      <c r="C454" s="11"/>
      <c r="D454" s="11"/>
      <c r="E454" s="11"/>
      <c r="F454" s="11"/>
      <c r="G454" s="11"/>
      <c r="H454" s="11"/>
      <c r="I454" s="11"/>
      <c r="J454" s="11"/>
      <c r="K454" s="11"/>
      <c r="L454" s="15"/>
      <c r="M454" s="15"/>
      <c r="N454" s="15"/>
      <c r="O454" s="15"/>
      <c r="P454" s="15"/>
      <c r="Q454" s="11"/>
      <c r="R454" s="11"/>
      <c r="S454" s="11"/>
      <c r="T454" s="11"/>
      <c r="U454" s="15"/>
      <c r="V454" s="11"/>
      <c r="W454" s="11"/>
      <c r="X454" s="11"/>
      <c r="Y454" s="11"/>
      <c r="Z454" s="11"/>
    </row>
    <row r="455">
      <c r="A455" s="18"/>
      <c r="B455" s="11"/>
      <c r="C455" s="11"/>
      <c r="D455" s="11"/>
      <c r="E455" s="11"/>
      <c r="F455" s="11"/>
      <c r="G455" s="11"/>
      <c r="H455" s="11"/>
      <c r="I455" s="11"/>
      <c r="J455" s="11"/>
      <c r="K455" s="11"/>
      <c r="L455" s="15"/>
      <c r="M455" s="15"/>
      <c r="N455" s="15"/>
      <c r="O455" s="15"/>
      <c r="P455" s="15"/>
      <c r="Q455" s="11"/>
      <c r="R455" s="11"/>
      <c r="S455" s="11"/>
      <c r="T455" s="11"/>
      <c r="U455" s="15"/>
      <c r="V455" s="11"/>
      <c r="W455" s="11"/>
      <c r="X455" s="11"/>
      <c r="Y455" s="11"/>
      <c r="Z455" s="11"/>
    </row>
    <row r="456">
      <c r="A456" s="18"/>
      <c r="B456" s="11"/>
      <c r="C456" s="11"/>
      <c r="D456" s="11"/>
      <c r="E456" s="11"/>
      <c r="F456" s="11"/>
      <c r="G456" s="11"/>
      <c r="H456" s="11"/>
      <c r="I456" s="11"/>
      <c r="J456" s="11"/>
      <c r="K456" s="11"/>
      <c r="L456" s="15"/>
      <c r="M456" s="15"/>
      <c r="N456" s="15"/>
      <c r="O456" s="15"/>
      <c r="P456" s="15"/>
      <c r="Q456" s="11"/>
      <c r="R456" s="11"/>
      <c r="S456" s="11"/>
      <c r="T456" s="11"/>
      <c r="U456" s="15"/>
      <c r="V456" s="11"/>
      <c r="W456" s="11"/>
      <c r="X456" s="11"/>
      <c r="Y456" s="11"/>
      <c r="Z456" s="11"/>
    </row>
    <row r="457">
      <c r="A457" s="18"/>
      <c r="B457" s="11"/>
      <c r="C457" s="11"/>
      <c r="D457" s="11"/>
      <c r="E457" s="11"/>
      <c r="F457" s="11"/>
      <c r="G457" s="11"/>
      <c r="H457" s="11"/>
      <c r="I457" s="11"/>
      <c r="J457" s="11"/>
      <c r="K457" s="11"/>
      <c r="L457" s="15"/>
      <c r="M457" s="15"/>
      <c r="N457" s="15"/>
      <c r="O457" s="15"/>
      <c r="P457" s="15"/>
      <c r="Q457" s="11"/>
      <c r="R457" s="11"/>
      <c r="S457" s="11"/>
      <c r="T457" s="11"/>
      <c r="U457" s="15"/>
      <c r="V457" s="11"/>
      <c r="W457" s="11"/>
      <c r="X457" s="11"/>
      <c r="Y457" s="11"/>
      <c r="Z457" s="11"/>
    </row>
    <row r="458">
      <c r="A458" s="18"/>
      <c r="B458" s="11"/>
      <c r="C458" s="11"/>
      <c r="D458" s="11"/>
      <c r="E458" s="11"/>
      <c r="F458" s="11"/>
      <c r="G458" s="11"/>
      <c r="H458" s="11"/>
      <c r="I458" s="11"/>
      <c r="J458" s="11"/>
      <c r="K458" s="11"/>
      <c r="L458" s="15"/>
      <c r="M458" s="15"/>
      <c r="N458" s="15"/>
      <c r="O458" s="15"/>
      <c r="P458" s="15"/>
      <c r="Q458" s="11"/>
      <c r="R458" s="11"/>
      <c r="S458" s="11"/>
      <c r="T458" s="11"/>
      <c r="U458" s="15"/>
      <c r="V458" s="11"/>
      <c r="W458" s="11"/>
      <c r="X458" s="11"/>
      <c r="Y458" s="11"/>
      <c r="Z458" s="11"/>
    </row>
    <row r="459">
      <c r="A459" s="18"/>
      <c r="B459" s="11"/>
      <c r="C459" s="11"/>
      <c r="D459" s="11"/>
      <c r="E459" s="11"/>
      <c r="F459" s="11"/>
      <c r="G459" s="11"/>
      <c r="H459" s="11"/>
      <c r="I459" s="11"/>
      <c r="J459" s="11"/>
      <c r="K459" s="11"/>
      <c r="L459" s="15"/>
      <c r="M459" s="15"/>
      <c r="N459" s="15"/>
      <c r="O459" s="15"/>
      <c r="P459" s="15"/>
      <c r="Q459" s="11"/>
      <c r="R459" s="11"/>
      <c r="S459" s="11"/>
      <c r="T459" s="11"/>
      <c r="U459" s="15"/>
      <c r="V459" s="11"/>
      <c r="W459" s="11"/>
      <c r="X459" s="11"/>
      <c r="Y459" s="11"/>
      <c r="Z459" s="11"/>
    </row>
    <row r="460">
      <c r="A460" s="18"/>
      <c r="B460" s="11"/>
      <c r="C460" s="11"/>
      <c r="D460" s="11"/>
      <c r="E460" s="11"/>
      <c r="F460" s="11"/>
      <c r="G460" s="11"/>
      <c r="H460" s="11"/>
      <c r="I460" s="11"/>
      <c r="J460" s="11"/>
      <c r="K460" s="11"/>
      <c r="L460" s="15"/>
      <c r="M460" s="15"/>
      <c r="N460" s="15"/>
      <c r="O460" s="15"/>
      <c r="P460" s="15"/>
      <c r="Q460" s="11"/>
      <c r="R460" s="11"/>
      <c r="S460" s="11"/>
      <c r="T460" s="11"/>
      <c r="U460" s="15"/>
      <c r="V460" s="11"/>
      <c r="W460" s="11"/>
      <c r="X460" s="11"/>
      <c r="Y460" s="11"/>
      <c r="Z460" s="11"/>
    </row>
    <row r="461">
      <c r="A461" s="18"/>
      <c r="B461" s="11"/>
      <c r="C461" s="11"/>
      <c r="D461" s="11"/>
      <c r="E461" s="11"/>
      <c r="F461" s="11"/>
      <c r="G461" s="11"/>
      <c r="H461" s="11"/>
      <c r="I461" s="11"/>
      <c r="J461" s="11"/>
      <c r="K461" s="11"/>
      <c r="L461" s="15"/>
      <c r="M461" s="15"/>
      <c r="N461" s="15"/>
      <c r="O461" s="15"/>
      <c r="P461" s="15"/>
      <c r="Q461" s="11"/>
      <c r="R461" s="11"/>
      <c r="S461" s="11"/>
      <c r="T461" s="11"/>
      <c r="U461" s="15"/>
      <c r="V461" s="11"/>
      <c r="W461" s="11"/>
      <c r="X461" s="11"/>
      <c r="Y461" s="11"/>
      <c r="Z461" s="11"/>
    </row>
    <row r="462">
      <c r="A462" s="18"/>
      <c r="B462" s="11"/>
      <c r="C462" s="11"/>
      <c r="D462" s="11"/>
      <c r="E462" s="11"/>
      <c r="F462" s="11"/>
      <c r="G462" s="11"/>
      <c r="H462" s="11"/>
      <c r="I462" s="11"/>
      <c r="J462" s="11"/>
      <c r="K462" s="11"/>
      <c r="L462" s="15"/>
      <c r="M462" s="15"/>
      <c r="N462" s="15"/>
      <c r="O462" s="15"/>
      <c r="P462" s="15"/>
      <c r="Q462" s="11"/>
      <c r="R462" s="11"/>
      <c r="S462" s="11"/>
      <c r="T462" s="11"/>
      <c r="U462" s="15"/>
      <c r="V462" s="11"/>
      <c r="W462" s="11"/>
      <c r="X462" s="11"/>
      <c r="Y462" s="11"/>
      <c r="Z462" s="11"/>
    </row>
    <row r="463">
      <c r="A463" s="18"/>
      <c r="B463" s="11"/>
      <c r="C463" s="11"/>
      <c r="D463" s="11"/>
      <c r="E463" s="11"/>
      <c r="F463" s="11"/>
      <c r="G463" s="11"/>
      <c r="H463" s="11"/>
      <c r="I463" s="11"/>
      <c r="J463" s="11"/>
      <c r="K463" s="11"/>
      <c r="L463" s="15"/>
      <c r="M463" s="15"/>
      <c r="N463" s="15"/>
      <c r="O463" s="15"/>
      <c r="P463" s="15"/>
      <c r="Q463" s="11"/>
      <c r="R463" s="11"/>
      <c r="S463" s="11"/>
      <c r="T463" s="11"/>
      <c r="U463" s="15"/>
      <c r="V463" s="11"/>
      <c r="W463" s="11"/>
      <c r="X463" s="11"/>
      <c r="Y463" s="11"/>
      <c r="Z463" s="11"/>
    </row>
    <row r="464">
      <c r="A464" s="18"/>
      <c r="B464" s="11"/>
      <c r="C464" s="11"/>
      <c r="D464" s="11"/>
      <c r="E464" s="11"/>
      <c r="F464" s="11"/>
      <c r="G464" s="11"/>
      <c r="H464" s="11"/>
      <c r="I464" s="11"/>
      <c r="J464" s="11"/>
      <c r="K464" s="11"/>
      <c r="L464" s="15"/>
      <c r="M464" s="15"/>
      <c r="N464" s="15"/>
      <c r="O464" s="15"/>
      <c r="P464" s="15"/>
      <c r="Q464" s="11"/>
      <c r="R464" s="11"/>
      <c r="S464" s="11"/>
      <c r="T464" s="11"/>
      <c r="U464" s="15"/>
      <c r="V464" s="11"/>
      <c r="W464" s="11"/>
      <c r="X464" s="11"/>
      <c r="Y464" s="11"/>
      <c r="Z464" s="11"/>
    </row>
    <row r="465">
      <c r="A465" s="18"/>
      <c r="B465" s="11"/>
      <c r="C465" s="11"/>
      <c r="D465" s="11"/>
      <c r="E465" s="11"/>
      <c r="F465" s="11"/>
      <c r="G465" s="11"/>
      <c r="H465" s="11"/>
      <c r="I465" s="11"/>
      <c r="J465" s="11"/>
      <c r="K465" s="11"/>
      <c r="L465" s="15"/>
      <c r="M465" s="15"/>
      <c r="N465" s="15"/>
      <c r="O465" s="15"/>
      <c r="P465" s="15"/>
      <c r="Q465" s="11"/>
      <c r="R465" s="11"/>
      <c r="S465" s="11"/>
      <c r="T465" s="11"/>
      <c r="U465" s="15"/>
      <c r="V465" s="11"/>
      <c r="W465" s="11"/>
      <c r="X465" s="11"/>
      <c r="Y465" s="11"/>
      <c r="Z465" s="11"/>
    </row>
    <row r="466">
      <c r="A466" s="18"/>
      <c r="B466" s="11"/>
      <c r="C466" s="11"/>
      <c r="D466" s="11"/>
      <c r="E466" s="11"/>
      <c r="F466" s="11"/>
      <c r="G466" s="11"/>
      <c r="H466" s="11"/>
      <c r="I466" s="11"/>
      <c r="J466" s="11"/>
      <c r="K466" s="11"/>
      <c r="L466" s="15"/>
      <c r="M466" s="15"/>
      <c r="N466" s="15"/>
      <c r="O466" s="15"/>
      <c r="P466" s="15"/>
      <c r="Q466" s="11"/>
      <c r="R466" s="11"/>
      <c r="S466" s="11"/>
      <c r="T466" s="11"/>
      <c r="U466" s="15"/>
      <c r="V466" s="11"/>
      <c r="W466" s="11"/>
      <c r="X466" s="11"/>
      <c r="Y466" s="11"/>
      <c r="Z466" s="11"/>
    </row>
    <row r="467">
      <c r="A467" s="18"/>
      <c r="B467" s="11"/>
      <c r="C467" s="11"/>
      <c r="D467" s="11"/>
      <c r="E467" s="11"/>
      <c r="F467" s="11"/>
      <c r="G467" s="11"/>
      <c r="H467" s="11"/>
      <c r="I467" s="11"/>
      <c r="J467" s="11"/>
      <c r="K467" s="11"/>
      <c r="L467" s="15"/>
      <c r="M467" s="15"/>
      <c r="N467" s="15"/>
      <c r="O467" s="15"/>
      <c r="P467" s="15"/>
      <c r="Q467" s="11"/>
      <c r="R467" s="11"/>
      <c r="S467" s="11"/>
      <c r="T467" s="11"/>
      <c r="U467" s="15"/>
      <c r="V467" s="11"/>
      <c r="W467" s="11"/>
      <c r="X467" s="11"/>
      <c r="Y467" s="11"/>
      <c r="Z467" s="11"/>
    </row>
    <row r="468">
      <c r="A468" s="18"/>
      <c r="B468" s="11"/>
      <c r="C468" s="11"/>
      <c r="D468" s="11"/>
      <c r="E468" s="11"/>
      <c r="F468" s="11"/>
      <c r="G468" s="11"/>
      <c r="H468" s="11"/>
      <c r="I468" s="11"/>
      <c r="J468" s="11"/>
      <c r="K468" s="11"/>
      <c r="L468" s="15"/>
      <c r="M468" s="15"/>
      <c r="N468" s="15"/>
      <c r="O468" s="15"/>
      <c r="P468" s="15"/>
      <c r="Q468" s="11"/>
      <c r="R468" s="11"/>
      <c r="S468" s="11"/>
      <c r="T468" s="11"/>
      <c r="U468" s="15"/>
      <c r="V468" s="11"/>
      <c r="W468" s="11"/>
      <c r="X468" s="11"/>
      <c r="Y468" s="11"/>
      <c r="Z468" s="11"/>
    </row>
    <row r="469">
      <c r="A469" s="18"/>
      <c r="B469" s="11"/>
      <c r="C469" s="11"/>
      <c r="D469" s="11"/>
      <c r="E469" s="11"/>
      <c r="F469" s="11"/>
      <c r="G469" s="11"/>
      <c r="H469" s="11"/>
      <c r="I469" s="11"/>
      <c r="J469" s="11"/>
      <c r="K469" s="11"/>
      <c r="L469" s="15"/>
      <c r="M469" s="15"/>
      <c r="N469" s="15"/>
      <c r="O469" s="15"/>
      <c r="P469" s="15"/>
      <c r="Q469" s="11"/>
      <c r="R469" s="11"/>
      <c r="S469" s="11"/>
      <c r="T469" s="11"/>
      <c r="U469" s="15"/>
      <c r="V469" s="11"/>
      <c r="W469" s="11"/>
      <c r="X469" s="11"/>
      <c r="Y469" s="11"/>
      <c r="Z469" s="11"/>
    </row>
    <row r="470">
      <c r="A470" s="18"/>
      <c r="B470" s="11"/>
      <c r="C470" s="11"/>
      <c r="D470" s="11"/>
      <c r="E470" s="11"/>
      <c r="F470" s="11"/>
      <c r="G470" s="11"/>
      <c r="H470" s="11"/>
      <c r="I470" s="11"/>
      <c r="J470" s="11"/>
      <c r="K470" s="11"/>
      <c r="L470" s="15"/>
      <c r="M470" s="15"/>
      <c r="N470" s="15"/>
      <c r="O470" s="15"/>
      <c r="P470" s="15"/>
      <c r="Q470" s="11"/>
      <c r="R470" s="11"/>
      <c r="S470" s="11"/>
      <c r="T470" s="11"/>
      <c r="U470" s="15"/>
      <c r="V470" s="11"/>
      <c r="W470" s="11"/>
      <c r="X470" s="11"/>
      <c r="Y470" s="11"/>
      <c r="Z470" s="11"/>
    </row>
    <row r="471">
      <c r="A471" s="18"/>
      <c r="B471" s="11"/>
      <c r="C471" s="11"/>
      <c r="D471" s="11"/>
      <c r="E471" s="11"/>
      <c r="F471" s="11"/>
      <c r="G471" s="11"/>
      <c r="H471" s="11"/>
      <c r="I471" s="11"/>
      <c r="J471" s="11"/>
      <c r="K471" s="11"/>
      <c r="L471" s="15"/>
      <c r="M471" s="15"/>
      <c r="N471" s="15"/>
      <c r="O471" s="15"/>
      <c r="P471" s="15"/>
      <c r="Q471" s="11"/>
      <c r="R471" s="11"/>
      <c r="S471" s="11"/>
      <c r="T471" s="11"/>
      <c r="U471" s="15"/>
      <c r="V471" s="11"/>
      <c r="W471" s="11"/>
      <c r="X471" s="11"/>
      <c r="Y471" s="11"/>
      <c r="Z471" s="11"/>
    </row>
    <row r="472">
      <c r="A472" s="18"/>
      <c r="B472" s="11"/>
      <c r="C472" s="11"/>
      <c r="D472" s="11"/>
      <c r="E472" s="11"/>
      <c r="F472" s="11"/>
      <c r="G472" s="11"/>
      <c r="H472" s="11"/>
      <c r="I472" s="11"/>
      <c r="J472" s="11"/>
      <c r="K472" s="11"/>
      <c r="L472" s="15"/>
      <c r="M472" s="15"/>
      <c r="N472" s="15"/>
      <c r="O472" s="15"/>
      <c r="P472" s="15"/>
      <c r="Q472" s="11"/>
      <c r="R472" s="11"/>
      <c r="S472" s="11"/>
      <c r="T472" s="11"/>
      <c r="U472" s="15"/>
      <c r="V472" s="11"/>
      <c r="W472" s="11"/>
      <c r="X472" s="11"/>
      <c r="Y472" s="11"/>
      <c r="Z472" s="11"/>
    </row>
    <row r="473">
      <c r="A473" s="18"/>
      <c r="B473" s="11"/>
      <c r="C473" s="11"/>
      <c r="D473" s="11"/>
      <c r="E473" s="11"/>
      <c r="F473" s="11"/>
      <c r="G473" s="11"/>
      <c r="H473" s="11"/>
      <c r="I473" s="11"/>
      <c r="J473" s="11"/>
      <c r="K473" s="11"/>
      <c r="L473" s="15"/>
      <c r="M473" s="15"/>
      <c r="N473" s="15"/>
      <c r="O473" s="15"/>
      <c r="P473" s="15"/>
      <c r="Q473" s="11"/>
      <c r="R473" s="11"/>
      <c r="S473" s="11"/>
      <c r="T473" s="11"/>
      <c r="U473" s="15"/>
      <c r="V473" s="11"/>
      <c r="W473" s="11"/>
      <c r="X473" s="11"/>
      <c r="Y473" s="11"/>
      <c r="Z473" s="11"/>
    </row>
    <row r="474">
      <c r="A474" s="18"/>
      <c r="B474" s="11"/>
      <c r="C474" s="11"/>
      <c r="D474" s="11"/>
      <c r="E474" s="11"/>
      <c r="F474" s="11"/>
      <c r="G474" s="11"/>
      <c r="H474" s="11"/>
      <c r="I474" s="11"/>
      <c r="J474" s="11"/>
      <c r="K474" s="11"/>
      <c r="L474" s="15"/>
      <c r="M474" s="15"/>
      <c r="N474" s="15"/>
      <c r="O474" s="15"/>
      <c r="P474" s="15"/>
      <c r="Q474" s="11"/>
      <c r="R474" s="11"/>
      <c r="S474" s="11"/>
      <c r="T474" s="11"/>
      <c r="U474" s="15"/>
      <c r="V474" s="11"/>
      <c r="W474" s="11"/>
      <c r="X474" s="11"/>
      <c r="Y474" s="11"/>
      <c r="Z474" s="11"/>
    </row>
    <row r="475">
      <c r="A475" s="18"/>
      <c r="B475" s="11"/>
      <c r="C475" s="11"/>
      <c r="D475" s="11"/>
      <c r="E475" s="11"/>
      <c r="F475" s="11"/>
      <c r="G475" s="11"/>
      <c r="H475" s="11"/>
      <c r="I475" s="11"/>
      <c r="J475" s="11"/>
      <c r="K475" s="11"/>
      <c r="L475" s="15"/>
      <c r="M475" s="15"/>
      <c r="N475" s="15"/>
      <c r="O475" s="15"/>
      <c r="P475" s="15"/>
      <c r="Q475" s="11"/>
      <c r="R475" s="11"/>
      <c r="S475" s="11"/>
      <c r="T475" s="11"/>
      <c r="U475" s="15"/>
      <c r="V475" s="11"/>
      <c r="W475" s="11"/>
      <c r="X475" s="11"/>
      <c r="Y475" s="11"/>
      <c r="Z475" s="11"/>
    </row>
    <row r="476">
      <c r="A476" s="18"/>
      <c r="B476" s="11"/>
      <c r="C476" s="11"/>
      <c r="D476" s="11"/>
      <c r="E476" s="11"/>
      <c r="F476" s="11"/>
      <c r="G476" s="11"/>
      <c r="H476" s="11"/>
      <c r="I476" s="11"/>
      <c r="J476" s="11"/>
      <c r="K476" s="11"/>
      <c r="L476" s="15"/>
      <c r="M476" s="15"/>
      <c r="N476" s="15"/>
      <c r="O476" s="15"/>
      <c r="P476" s="15"/>
      <c r="Q476" s="11"/>
      <c r="R476" s="11"/>
      <c r="S476" s="11"/>
      <c r="T476" s="11"/>
      <c r="U476" s="15"/>
      <c r="V476" s="11"/>
      <c r="W476" s="11"/>
      <c r="X476" s="11"/>
      <c r="Y476" s="11"/>
      <c r="Z476" s="11"/>
    </row>
    <row r="477">
      <c r="A477" s="18"/>
      <c r="B477" s="11"/>
      <c r="C477" s="11"/>
      <c r="D477" s="11"/>
      <c r="E477" s="11"/>
      <c r="F477" s="11"/>
      <c r="G477" s="11"/>
      <c r="H477" s="11"/>
      <c r="I477" s="11"/>
      <c r="J477" s="11"/>
      <c r="K477" s="11"/>
      <c r="L477" s="15"/>
      <c r="M477" s="15"/>
      <c r="N477" s="15"/>
      <c r="O477" s="15"/>
      <c r="P477" s="15"/>
      <c r="Q477" s="11"/>
      <c r="R477" s="11"/>
      <c r="S477" s="11"/>
      <c r="T477" s="11"/>
      <c r="U477" s="15"/>
      <c r="V477" s="11"/>
      <c r="W477" s="11"/>
      <c r="X477" s="11"/>
      <c r="Y477" s="11"/>
      <c r="Z477" s="11"/>
    </row>
    <row r="478">
      <c r="A478" s="18"/>
      <c r="B478" s="11"/>
      <c r="C478" s="11"/>
      <c r="D478" s="11"/>
      <c r="E478" s="11"/>
      <c r="F478" s="11"/>
      <c r="G478" s="11"/>
      <c r="H478" s="11"/>
      <c r="I478" s="11"/>
      <c r="J478" s="11"/>
      <c r="K478" s="11"/>
      <c r="L478" s="15"/>
      <c r="M478" s="15"/>
      <c r="N478" s="15"/>
      <c r="O478" s="15"/>
      <c r="P478" s="15"/>
      <c r="Q478" s="11"/>
      <c r="R478" s="11"/>
      <c r="S478" s="11"/>
      <c r="T478" s="11"/>
      <c r="U478" s="15"/>
      <c r="V478" s="11"/>
      <c r="W478" s="11"/>
      <c r="X478" s="11"/>
      <c r="Y478" s="11"/>
      <c r="Z478" s="11"/>
    </row>
    <row r="479">
      <c r="A479" s="18"/>
      <c r="B479" s="11"/>
      <c r="C479" s="11"/>
      <c r="D479" s="11"/>
      <c r="E479" s="11"/>
      <c r="F479" s="11"/>
      <c r="G479" s="11"/>
      <c r="H479" s="11"/>
      <c r="I479" s="11"/>
      <c r="J479" s="11"/>
      <c r="K479" s="11"/>
      <c r="L479" s="15"/>
      <c r="M479" s="15"/>
      <c r="N479" s="15"/>
      <c r="O479" s="15"/>
      <c r="P479" s="15"/>
      <c r="Q479" s="11"/>
      <c r="R479" s="11"/>
      <c r="S479" s="11"/>
      <c r="T479" s="11"/>
      <c r="U479" s="15"/>
      <c r="V479" s="11"/>
      <c r="W479" s="11"/>
      <c r="X479" s="11"/>
      <c r="Y479" s="11"/>
      <c r="Z479" s="11"/>
    </row>
    <row r="480">
      <c r="A480" s="18"/>
      <c r="B480" s="11"/>
      <c r="C480" s="11"/>
      <c r="D480" s="11"/>
      <c r="E480" s="11"/>
      <c r="F480" s="11"/>
      <c r="G480" s="11"/>
      <c r="H480" s="11"/>
      <c r="I480" s="11"/>
      <c r="J480" s="11"/>
      <c r="K480" s="11"/>
      <c r="L480" s="15"/>
      <c r="M480" s="15"/>
      <c r="N480" s="15"/>
      <c r="O480" s="15"/>
      <c r="P480" s="15"/>
      <c r="Q480" s="11"/>
      <c r="R480" s="11"/>
      <c r="S480" s="11"/>
      <c r="T480" s="11"/>
      <c r="U480" s="15"/>
      <c r="V480" s="11"/>
      <c r="W480" s="11"/>
      <c r="X480" s="11"/>
      <c r="Y480" s="11"/>
      <c r="Z480" s="11"/>
    </row>
    <row r="481">
      <c r="A481" s="18"/>
      <c r="B481" s="11"/>
      <c r="C481" s="11"/>
      <c r="D481" s="11"/>
      <c r="E481" s="11"/>
      <c r="F481" s="11"/>
      <c r="G481" s="11"/>
      <c r="H481" s="11"/>
      <c r="I481" s="11"/>
      <c r="J481" s="11"/>
      <c r="K481" s="11"/>
      <c r="L481" s="15"/>
      <c r="M481" s="15"/>
      <c r="N481" s="15"/>
      <c r="O481" s="15"/>
      <c r="P481" s="15"/>
      <c r="Q481" s="11"/>
      <c r="R481" s="11"/>
      <c r="S481" s="11"/>
      <c r="T481" s="11"/>
      <c r="U481" s="15"/>
      <c r="V481" s="11"/>
      <c r="W481" s="11"/>
      <c r="X481" s="11"/>
      <c r="Y481" s="11"/>
      <c r="Z481" s="11"/>
    </row>
    <row r="482">
      <c r="A482" s="18"/>
      <c r="B482" s="11"/>
      <c r="C482" s="11"/>
      <c r="D482" s="11"/>
      <c r="E482" s="11"/>
      <c r="F482" s="11"/>
      <c r="G482" s="11"/>
      <c r="H482" s="11"/>
      <c r="I482" s="11"/>
      <c r="J482" s="11"/>
      <c r="K482" s="11"/>
      <c r="L482" s="15"/>
      <c r="M482" s="15"/>
      <c r="N482" s="15"/>
      <c r="O482" s="15"/>
      <c r="P482" s="15"/>
      <c r="Q482" s="11"/>
      <c r="R482" s="11"/>
      <c r="S482" s="11"/>
      <c r="T482" s="11"/>
      <c r="U482" s="15"/>
      <c r="V482" s="11"/>
      <c r="W482" s="11"/>
      <c r="X482" s="11"/>
      <c r="Y482" s="11"/>
      <c r="Z482" s="11"/>
    </row>
    <row r="483">
      <c r="A483" s="18"/>
      <c r="B483" s="11"/>
      <c r="C483" s="11"/>
      <c r="D483" s="11"/>
      <c r="E483" s="11"/>
      <c r="F483" s="11"/>
      <c r="G483" s="11"/>
      <c r="H483" s="11"/>
      <c r="I483" s="11"/>
      <c r="J483" s="11"/>
      <c r="K483" s="11"/>
      <c r="L483" s="15"/>
      <c r="M483" s="15"/>
      <c r="N483" s="15"/>
      <c r="O483" s="15"/>
      <c r="P483" s="15"/>
      <c r="Q483" s="11"/>
      <c r="R483" s="11"/>
      <c r="S483" s="11"/>
      <c r="T483" s="11"/>
      <c r="U483" s="15"/>
      <c r="V483" s="11"/>
      <c r="W483" s="11"/>
      <c r="X483" s="11"/>
      <c r="Y483" s="11"/>
      <c r="Z483" s="11"/>
    </row>
    <row r="484">
      <c r="A484" s="18"/>
      <c r="B484" s="11"/>
      <c r="C484" s="11"/>
      <c r="D484" s="11"/>
      <c r="E484" s="11"/>
      <c r="F484" s="11"/>
      <c r="G484" s="11"/>
      <c r="H484" s="11"/>
      <c r="I484" s="11"/>
      <c r="J484" s="11"/>
      <c r="K484" s="11"/>
      <c r="L484" s="15"/>
      <c r="M484" s="15"/>
      <c r="N484" s="15"/>
      <c r="O484" s="15"/>
      <c r="P484" s="15"/>
      <c r="Q484" s="11"/>
      <c r="R484" s="11"/>
      <c r="S484" s="11"/>
      <c r="T484" s="11"/>
      <c r="U484" s="15"/>
      <c r="V484" s="11"/>
      <c r="W484" s="11"/>
      <c r="X484" s="11"/>
      <c r="Y484" s="11"/>
      <c r="Z484" s="11"/>
    </row>
    <row r="485">
      <c r="A485" s="18"/>
      <c r="B485" s="11"/>
      <c r="C485" s="11"/>
      <c r="D485" s="11"/>
      <c r="E485" s="11"/>
      <c r="F485" s="11"/>
      <c r="G485" s="11"/>
      <c r="H485" s="11"/>
      <c r="I485" s="11"/>
      <c r="J485" s="11"/>
      <c r="K485" s="11"/>
      <c r="L485" s="15"/>
      <c r="M485" s="15"/>
      <c r="N485" s="15"/>
      <c r="O485" s="15"/>
      <c r="P485" s="15"/>
      <c r="Q485" s="11"/>
      <c r="R485" s="11"/>
      <c r="S485" s="11"/>
      <c r="T485" s="11"/>
      <c r="U485" s="15"/>
      <c r="V485" s="11"/>
      <c r="W485" s="11"/>
      <c r="X485" s="11"/>
      <c r="Y485" s="11"/>
      <c r="Z485" s="11"/>
    </row>
    <row r="486">
      <c r="A486" s="18"/>
      <c r="B486" s="11"/>
      <c r="C486" s="11"/>
      <c r="D486" s="11"/>
      <c r="E486" s="11"/>
      <c r="F486" s="11"/>
      <c r="G486" s="11"/>
      <c r="H486" s="11"/>
      <c r="I486" s="11"/>
      <c r="J486" s="11"/>
      <c r="K486" s="11"/>
      <c r="L486" s="15"/>
      <c r="M486" s="15"/>
      <c r="N486" s="15"/>
      <c r="O486" s="15"/>
      <c r="P486" s="15"/>
      <c r="Q486" s="11"/>
      <c r="R486" s="11"/>
      <c r="S486" s="11"/>
      <c r="T486" s="11"/>
      <c r="U486" s="15"/>
      <c r="V486" s="11"/>
      <c r="W486" s="11"/>
      <c r="X486" s="11"/>
      <c r="Y486" s="11"/>
      <c r="Z486" s="11"/>
    </row>
    <row r="487">
      <c r="A487" s="18"/>
      <c r="B487" s="11"/>
      <c r="C487" s="11"/>
      <c r="D487" s="11"/>
      <c r="E487" s="11"/>
      <c r="F487" s="11"/>
      <c r="G487" s="11"/>
      <c r="H487" s="11"/>
      <c r="I487" s="11"/>
      <c r="J487" s="11"/>
      <c r="K487" s="11"/>
      <c r="L487" s="15"/>
      <c r="M487" s="15"/>
      <c r="N487" s="15"/>
      <c r="O487" s="15"/>
      <c r="P487" s="15"/>
      <c r="Q487" s="11"/>
      <c r="R487" s="11"/>
      <c r="S487" s="11"/>
      <c r="T487" s="11"/>
      <c r="U487" s="15"/>
      <c r="V487" s="11"/>
      <c r="W487" s="11"/>
      <c r="X487" s="11"/>
      <c r="Y487" s="11"/>
      <c r="Z487" s="11"/>
    </row>
    <row r="488">
      <c r="A488" s="18"/>
      <c r="B488" s="11"/>
      <c r="C488" s="11"/>
      <c r="D488" s="11"/>
      <c r="E488" s="11"/>
      <c r="F488" s="11"/>
      <c r="G488" s="11"/>
      <c r="H488" s="11"/>
      <c r="I488" s="11"/>
      <c r="J488" s="11"/>
      <c r="K488" s="11"/>
      <c r="L488" s="15"/>
      <c r="M488" s="15"/>
      <c r="N488" s="15"/>
      <c r="O488" s="15"/>
      <c r="P488" s="15"/>
      <c r="Q488" s="11"/>
      <c r="R488" s="11"/>
      <c r="S488" s="11"/>
      <c r="T488" s="11"/>
      <c r="U488" s="15"/>
      <c r="V488" s="11"/>
      <c r="W488" s="11"/>
      <c r="X488" s="11"/>
      <c r="Y488" s="11"/>
      <c r="Z488" s="11"/>
    </row>
    <row r="489">
      <c r="A489" s="18"/>
      <c r="B489" s="11"/>
      <c r="C489" s="11"/>
      <c r="D489" s="11"/>
      <c r="E489" s="11"/>
      <c r="F489" s="11"/>
      <c r="G489" s="11"/>
      <c r="H489" s="11"/>
      <c r="I489" s="11"/>
      <c r="J489" s="11"/>
      <c r="K489" s="11"/>
      <c r="L489" s="15"/>
      <c r="M489" s="15"/>
      <c r="N489" s="15"/>
      <c r="O489" s="15"/>
      <c r="P489" s="15"/>
      <c r="Q489" s="11"/>
      <c r="R489" s="11"/>
      <c r="S489" s="11"/>
      <c r="T489" s="11"/>
      <c r="U489" s="15"/>
      <c r="V489" s="11"/>
      <c r="W489" s="11"/>
      <c r="X489" s="11"/>
      <c r="Y489" s="11"/>
      <c r="Z489" s="11"/>
    </row>
    <row r="490">
      <c r="A490" s="18"/>
      <c r="B490" s="11"/>
      <c r="C490" s="11"/>
      <c r="D490" s="11"/>
      <c r="E490" s="11"/>
      <c r="F490" s="11"/>
      <c r="G490" s="11"/>
      <c r="H490" s="11"/>
      <c r="I490" s="11"/>
      <c r="J490" s="11"/>
      <c r="K490" s="11"/>
      <c r="L490" s="15"/>
      <c r="M490" s="15"/>
      <c r="N490" s="15"/>
      <c r="O490" s="15"/>
      <c r="P490" s="15"/>
      <c r="Q490" s="11"/>
      <c r="R490" s="11"/>
      <c r="S490" s="11"/>
      <c r="T490" s="11"/>
      <c r="U490" s="15"/>
      <c r="V490" s="11"/>
      <c r="W490" s="11"/>
      <c r="X490" s="11"/>
      <c r="Y490" s="11"/>
      <c r="Z490" s="11"/>
    </row>
    <row r="491">
      <c r="A491" s="18"/>
      <c r="B491" s="11"/>
      <c r="C491" s="11"/>
      <c r="D491" s="11"/>
      <c r="E491" s="11"/>
      <c r="F491" s="11"/>
      <c r="G491" s="11"/>
      <c r="H491" s="11"/>
      <c r="I491" s="11"/>
      <c r="J491" s="11"/>
      <c r="K491" s="11"/>
      <c r="L491" s="15"/>
      <c r="M491" s="15"/>
      <c r="N491" s="15"/>
      <c r="O491" s="15"/>
      <c r="P491" s="15"/>
      <c r="Q491" s="11"/>
      <c r="R491" s="11"/>
      <c r="S491" s="11"/>
      <c r="T491" s="11"/>
      <c r="U491" s="15"/>
      <c r="V491" s="11"/>
      <c r="W491" s="11"/>
      <c r="X491" s="11"/>
      <c r="Y491" s="11"/>
      <c r="Z491" s="11"/>
    </row>
    <row r="492">
      <c r="A492" s="18"/>
      <c r="B492" s="11"/>
      <c r="C492" s="11"/>
      <c r="D492" s="11"/>
      <c r="E492" s="11"/>
      <c r="F492" s="11"/>
      <c r="G492" s="11"/>
      <c r="H492" s="11"/>
      <c r="I492" s="11"/>
      <c r="J492" s="11"/>
      <c r="K492" s="11"/>
      <c r="L492" s="15"/>
      <c r="M492" s="15"/>
      <c r="N492" s="15"/>
      <c r="O492" s="15"/>
      <c r="P492" s="15"/>
      <c r="Q492" s="11"/>
      <c r="R492" s="11"/>
      <c r="S492" s="11"/>
      <c r="T492" s="11"/>
      <c r="U492" s="15"/>
      <c r="V492" s="11"/>
      <c r="W492" s="11"/>
      <c r="X492" s="11"/>
      <c r="Y492" s="11"/>
      <c r="Z492" s="11"/>
    </row>
    <row r="493">
      <c r="A493" s="18"/>
      <c r="B493" s="11"/>
      <c r="C493" s="11"/>
      <c r="D493" s="11"/>
      <c r="E493" s="11"/>
      <c r="F493" s="11"/>
      <c r="G493" s="11"/>
      <c r="H493" s="11"/>
      <c r="I493" s="11"/>
      <c r="J493" s="11"/>
      <c r="K493" s="11"/>
      <c r="L493" s="15"/>
      <c r="M493" s="15"/>
      <c r="N493" s="15"/>
      <c r="O493" s="15"/>
      <c r="P493" s="15"/>
      <c r="Q493" s="11"/>
      <c r="R493" s="11"/>
      <c r="S493" s="11"/>
      <c r="T493" s="11"/>
      <c r="U493" s="15"/>
      <c r="V493" s="11"/>
      <c r="W493" s="11"/>
      <c r="X493" s="11"/>
      <c r="Y493" s="11"/>
      <c r="Z493" s="11"/>
    </row>
    <row r="494">
      <c r="A494" s="18"/>
      <c r="B494" s="11"/>
      <c r="C494" s="11"/>
      <c r="D494" s="11"/>
      <c r="E494" s="11"/>
      <c r="F494" s="11"/>
      <c r="G494" s="11"/>
      <c r="H494" s="11"/>
      <c r="I494" s="11"/>
      <c r="J494" s="11"/>
      <c r="K494" s="11"/>
      <c r="L494" s="15"/>
      <c r="M494" s="15"/>
      <c r="N494" s="15"/>
      <c r="O494" s="15"/>
      <c r="P494" s="15"/>
      <c r="Q494" s="11"/>
      <c r="R494" s="11"/>
      <c r="S494" s="11"/>
      <c r="T494" s="11"/>
      <c r="U494" s="15"/>
      <c r="V494" s="11"/>
      <c r="W494" s="11"/>
      <c r="X494" s="11"/>
      <c r="Y494" s="11"/>
      <c r="Z494" s="11"/>
    </row>
    <row r="495">
      <c r="A495" s="18"/>
      <c r="B495" s="11"/>
      <c r="C495" s="11"/>
      <c r="D495" s="11"/>
      <c r="E495" s="11"/>
      <c r="F495" s="11"/>
      <c r="G495" s="11"/>
      <c r="H495" s="11"/>
      <c r="I495" s="11"/>
      <c r="J495" s="11"/>
      <c r="K495" s="11"/>
      <c r="L495" s="15"/>
      <c r="M495" s="15"/>
      <c r="N495" s="15"/>
      <c r="O495" s="15"/>
      <c r="P495" s="15"/>
      <c r="Q495" s="11"/>
      <c r="R495" s="11"/>
      <c r="S495" s="11"/>
      <c r="T495" s="11"/>
      <c r="U495" s="15"/>
      <c r="V495" s="11"/>
      <c r="W495" s="11"/>
      <c r="X495" s="11"/>
      <c r="Y495" s="11"/>
      <c r="Z495" s="11"/>
    </row>
    <row r="496">
      <c r="A496" s="18"/>
      <c r="B496" s="11"/>
      <c r="C496" s="11"/>
      <c r="D496" s="11"/>
      <c r="E496" s="11"/>
      <c r="F496" s="11"/>
      <c r="G496" s="11"/>
      <c r="H496" s="11"/>
      <c r="I496" s="11"/>
      <c r="J496" s="11"/>
      <c r="K496" s="11"/>
      <c r="L496" s="15"/>
      <c r="M496" s="15"/>
      <c r="N496" s="15"/>
      <c r="O496" s="15"/>
      <c r="P496" s="15"/>
      <c r="Q496" s="11"/>
      <c r="R496" s="11"/>
      <c r="S496" s="11"/>
      <c r="T496" s="11"/>
      <c r="U496" s="15"/>
      <c r="V496" s="11"/>
      <c r="W496" s="11"/>
      <c r="X496" s="11"/>
      <c r="Y496" s="11"/>
      <c r="Z496" s="11"/>
    </row>
    <row r="497">
      <c r="A497" s="18"/>
      <c r="B497" s="11"/>
      <c r="C497" s="11"/>
      <c r="D497" s="11"/>
      <c r="E497" s="11"/>
      <c r="F497" s="11"/>
      <c r="G497" s="11"/>
      <c r="H497" s="11"/>
      <c r="I497" s="11"/>
      <c r="J497" s="11"/>
      <c r="K497" s="11"/>
      <c r="L497" s="15"/>
      <c r="M497" s="15"/>
      <c r="N497" s="15"/>
      <c r="O497" s="15"/>
      <c r="P497" s="15"/>
      <c r="Q497" s="11"/>
      <c r="R497" s="11"/>
      <c r="S497" s="11"/>
      <c r="T497" s="11"/>
      <c r="U497" s="15"/>
      <c r="V497" s="11"/>
      <c r="W497" s="11"/>
      <c r="X497" s="11"/>
      <c r="Y497" s="11"/>
      <c r="Z497" s="11"/>
    </row>
    <row r="498">
      <c r="A498" s="18"/>
      <c r="B498" s="11"/>
      <c r="C498" s="11"/>
      <c r="D498" s="11"/>
      <c r="E498" s="11"/>
      <c r="F498" s="11"/>
      <c r="G498" s="11"/>
      <c r="H498" s="11"/>
      <c r="I498" s="11"/>
      <c r="J498" s="11"/>
      <c r="K498" s="11"/>
      <c r="L498" s="15"/>
      <c r="M498" s="15"/>
      <c r="N498" s="15"/>
      <c r="O498" s="15"/>
      <c r="P498" s="15"/>
      <c r="Q498" s="11"/>
      <c r="R498" s="11"/>
      <c r="S498" s="11"/>
      <c r="T498" s="11"/>
      <c r="U498" s="15"/>
      <c r="V498" s="11"/>
      <c r="W498" s="11"/>
      <c r="X498" s="11"/>
      <c r="Y498" s="11"/>
      <c r="Z498" s="11"/>
    </row>
    <row r="499">
      <c r="A499" s="18"/>
      <c r="B499" s="11"/>
      <c r="C499" s="11"/>
      <c r="D499" s="11"/>
      <c r="E499" s="11"/>
      <c r="F499" s="11"/>
      <c r="G499" s="11"/>
      <c r="H499" s="11"/>
      <c r="I499" s="11"/>
      <c r="J499" s="11"/>
      <c r="K499" s="11"/>
      <c r="L499" s="15"/>
      <c r="M499" s="15"/>
      <c r="N499" s="15"/>
      <c r="O499" s="15"/>
      <c r="P499" s="15"/>
      <c r="Q499" s="11"/>
      <c r="R499" s="11"/>
      <c r="S499" s="11"/>
      <c r="T499" s="11"/>
      <c r="U499" s="15"/>
      <c r="V499" s="11"/>
      <c r="W499" s="11"/>
      <c r="X499" s="11"/>
      <c r="Y499" s="11"/>
      <c r="Z499" s="11"/>
    </row>
    <row r="500">
      <c r="A500" s="18"/>
      <c r="B500" s="11"/>
      <c r="C500" s="11"/>
      <c r="D500" s="11"/>
      <c r="E500" s="11"/>
      <c r="F500" s="11"/>
      <c r="G500" s="11"/>
      <c r="H500" s="11"/>
      <c r="I500" s="11"/>
      <c r="J500" s="11"/>
      <c r="K500" s="11"/>
      <c r="L500" s="15"/>
      <c r="M500" s="15"/>
      <c r="N500" s="15"/>
      <c r="O500" s="15"/>
      <c r="P500" s="15"/>
      <c r="Q500" s="11"/>
      <c r="R500" s="11"/>
      <c r="S500" s="11"/>
      <c r="T500" s="11"/>
      <c r="U500" s="15"/>
      <c r="V500" s="11"/>
      <c r="W500" s="11"/>
      <c r="X500" s="11"/>
      <c r="Y500" s="11"/>
      <c r="Z500" s="11"/>
    </row>
    <row r="501">
      <c r="A501" s="18"/>
      <c r="B501" s="11"/>
      <c r="C501" s="11"/>
      <c r="D501" s="11"/>
      <c r="E501" s="11"/>
      <c r="F501" s="11"/>
      <c r="G501" s="11"/>
      <c r="H501" s="11"/>
      <c r="I501" s="11"/>
      <c r="J501" s="11"/>
      <c r="K501" s="11"/>
      <c r="L501" s="15"/>
      <c r="M501" s="15"/>
      <c r="N501" s="15"/>
      <c r="O501" s="15"/>
      <c r="P501" s="15"/>
      <c r="Q501" s="11"/>
      <c r="R501" s="11"/>
      <c r="S501" s="11"/>
      <c r="T501" s="11"/>
      <c r="U501" s="15"/>
      <c r="V501" s="11"/>
      <c r="W501" s="11"/>
      <c r="X501" s="11"/>
      <c r="Y501" s="11"/>
      <c r="Z501" s="11"/>
    </row>
    <row r="502">
      <c r="A502" s="18"/>
      <c r="B502" s="11"/>
      <c r="C502" s="11"/>
      <c r="D502" s="11"/>
      <c r="E502" s="11"/>
      <c r="F502" s="11"/>
      <c r="G502" s="11"/>
      <c r="H502" s="11"/>
      <c r="I502" s="11"/>
      <c r="J502" s="11"/>
      <c r="K502" s="11"/>
      <c r="L502" s="15"/>
      <c r="M502" s="15"/>
      <c r="N502" s="15"/>
      <c r="O502" s="15"/>
      <c r="P502" s="15"/>
      <c r="Q502" s="11"/>
      <c r="R502" s="11"/>
      <c r="S502" s="11"/>
      <c r="T502" s="11"/>
      <c r="U502" s="15"/>
      <c r="V502" s="11"/>
      <c r="W502" s="11"/>
      <c r="X502" s="11"/>
      <c r="Y502" s="11"/>
      <c r="Z502" s="11"/>
    </row>
    <row r="503">
      <c r="A503" s="18"/>
      <c r="B503" s="11"/>
      <c r="C503" s="11"/>
      <c r="D503" s="11"/>
      <c r="E503" s="11"/>
      <c r="F503" s="11"/>
      <c r="G503" s="11"/>
      <c r="H503" s="11"/>
      <c r="I503" s="11"/>
      <c r="J503" s="11"/>
      <c r="K503" s="11"/>
      <c r="L503" s="15"/>
      <c r="M503" s="15"/>
      <c r="N503" s="15"/>
      <c r="O503" s="15"/>
      <c r="P503" s="15"/>
      <c r="Q503" s="11"/>
      <c r="R503" s="11"/>
      <c r="S503" s="11"/>
      <c r="T503" s="11"/>
      <c r="U503" s="15"/>
      <c r="V503" s="11"/>
      <c r="W503" s="11"/>
      <c r="X503" s="11"/>
      <c r="Y503" s="11"/>
      <c r="Z503" s="11"/>
    </row>
    <row r="504">
      <c r="A504" s="18"/>
      <c r="B504" s="11"/>
      <c r="C504" s="11"/>
      <c r="D504" s="11"/>
      <c r="E504" s="11"/>
      <c r="F504" s="11"/>
      <c r="G504" s="11"/>
      <c r="H504" s="11"/>
      <c r="I504" s="11"/>
      <c r="J504" s="11"/>
      <c r="K504" s="11"/>
      <c r="L504" s="15"/>
      <c r="M504" s="15"/>
      <c r="N504" s="15"/>
      <c r="O504" s="15"/>
      <c r="P504" s="15"/>
      <c r="Q504" s="11"/>
      <c r="R504" s="11"/>
      <c r="S504" s="11"/>
      <c r="T504" s="11"/>
      <c r="U504" s="15"/>
      <c r="V504" s="11"/>
      <c r="W504" s="11"/>
      <c r="X504" s="11"/>
      <c r="Y504" s="11"/>
      <c r="Z504" s="11"/>
    </row>
    <row r="505">
      <c r="A505" s="18"/>
      <c r="B505" s="11"/>
      <c r="C505" s="11"/>
      <c r="D505" s="11"/>
      <c r="E505" s="11"/>
      <c r="F505" s="11"/>
      <c r="G505" s="11"/>
      <c r="H505" s="11"/>
      <c r="I505" s="11"/>
      <c r="J505" s="11"/>
      <c r="K505" s="11"/>
      <c r="L505" s="15"/>
      <c r="M505" s="15"/>
      <c r="N505" s="15"/>
      <c r="O505" s="15"/>
      <c r="P505" s="15"/>
      <c r="Q505" s="11"/>
      <c r="R505" s="11"/>
      <c r="S505" s="11"/>
      <c r="T505" s="11"/>
      <c r="U505" s="15"/>
      <c r="V505" s="11"/>
      <c r="W505" s="11"/>
      <c r="X505" s="11"/>
      <c r="Y505" s="11"/>
      <c r="Z505" s="11"/>
    </row>
    <row r="506">
      <c r="A506" s="18"/>
      <c r="B506" s="11"/>
      <c r="C506" s="11"/>
      <c r="D506" s="11"/>
      <c r="E506" s="11"/>
      <c r="F506" s="11"/>
      <c r="G506" s="11"/>
      <c r="H506" s="11"/>
      <c r="I506" s="11"/>
      <c r="J506" s="11"/>
      <c r="K506" s="11"/>
      <c r="L506" s="15"/>
      <c r="M506" s="15"/>
      <c r="N506" s="15"/>
      <c r="O506" s="15"/>
      <c r="P506" s="15"/>
      <c r="Q506" s="11"/>
      <c r="R506" s="11"/>
      <c r="S506" s="11"/>
      <c r="T506" s="11"/>
      <c r="U506" s="15"/>
      <c r="V506" s="11"/>
      <c r="W506" s="11"/>
      <c r="X506" s="11"/>
      <c r="Y506" s="11"/>
      <c r="Z506" s="11"/>
    </row>
    <row r="507">
      <c r="A507" s="18"/>
      <c r="B507" s="11"/>
      <c r="C507" s="11"/>
      <c r="D507" s="11"/>
      <c r="E507" s="11"/>
      <c r="F507" s="11"/>
      <c r="G507" s="11"/>
      <c r="H507" s="11"/>
      <c r="I507" s="11"/>
      <c r="J507" s="11"/>
      <c r="K507" s="11"/>
      <c r="L507" s="15"/>
      <c r="M507" s="15"/>
      <c r="N507" s="15"/>
      <c r="O507" s="15"/>
      <c r="P507" s="15"/>
      <c r="Q507" s="11"/>
      <c r="R507" s="11"/>
      <c r="S507" s="11"/>
      <c r="T507" s="11"/>
      <c r="U507" s="15"/>
      <c r="V507" s="11"/>
      <c r="W507" s="11"/>
      <c r="X507" s="11"/>
      <c r="Y507" s="11"/>
      <c r="Z507" s="11"/>
    </row>
    <row r="508">
      <c r="A508" s="18"/>
      <c r="B508" s="11"/>
      <c r="C508" s="11"/>
      <c r="D508" s="11"/>
      <c r="E508" s="11"/>
      <c r="F508" s="11"/>
      <c r="G508" s="11"/>
      <c r="H508" s="11"/>
      <c r="I508" s="11"/>
      <c r="J508" s="11"/>
      <c r="K508" s="11"/>
      <c r="L508" s="15"/>
      <c r="M508" s="15"/>
      <c r="N508" s="15"/>
      <c r="O508" s="15"/>
      <c r="P508" s="15"/>
      <c r="Q508" s="11"/>
      <c r="R508" s="11"/>
      <c r="S508" s="11"/>
      <c r="T508" s="11"/>
      <c r="U508" s="15"/>
      <c r="V508" s="11"/>
      <c r="W508" s="11"/>
      <c r="X508" s="11"/>
      <c r="Y508" s="11"/>
      <c r="Z508" s="11"/>
    </row>
    <row r="509">
      <c r="A509" s="18"/>
      <c r="B509" s="11"/>
      <c r="C509" s="11"/>
      <c r="D509" s="11"/>
      <c r="E509" s="11"/>
      <c r="F509" s="11"/>
      <c r="G509" s="11"/>
      <c r="H509" s="11"/>
      <c r="I509" s="11"/>
      <c r="J509" s="11"/>
      <c r="K509" s="11"/>
      <c r="L509" s="15"/>
      <c r="M509" s="15"/>
      <c r="N509" s="15"/>
      <c r="O509" s="15"/>
      <c r="P509" s="15"/>
      <c r="Q509" s="11"/>
      <c r="R509" s="11"/>
      <c r="S509" s="11"/>
      <c r="T509" s="11"/>
      <c r="U509" s="15"/>
      <c r="V509" s="11"/>
      <c r="W509" s="11"/>
      <c r="X509" s="11"/>
      <c r="Y509" s="11"/>
      <c r="Z509" s="11"/>
    </row>
    <row r="510">
      <c r="A510" s="18"/>
      <c r="B510" s="11"/>
      <c r="C510" s="11"/>
      <c r="D510" s="11"/>
      <c r="E510" s="11"/>
      <c r="F510" s="11"/>
      <c r="G510" s="11"/>
      <c r="H510" s="11"/>
      <c r="I510" s="11"/>
      <c r="J510" s="11"/>
      <c r="K510" s="11"/>
      <c r="L510" s="15"/>
      <c r="M510" s="15"/>
      <c r="N510" s="15"/>
      <c r="O510" s="15"/>
      <c r="P510" s="15"/>
      <c r="Q510" s="11"/>
      <c r="R510" s="11"/>
      <c r="S510" s="11"/>
      <c r="T510" s="11"/>
      <c r="U510" s="15"/>
      <c r="V510" s="11"/>
      <c r="W510" s="11"/>
      <c r="X510" s="11"/>
      <c r="Y510" s="11"/>
      <c r="Z510" s="11"/>
    </row>
    <row r="511">
      <c r="A511" s="18"/>
      <c r="B511" s="11"/>
      <c r="C511" s="11"/>
      <c r="D511" s="11"/>
      <c r="E511" s="11"/>
      <c r="F511" s="11"/>
      <c r="G511" s="11"/>
      <c r="H511" s="11"/>
      <c r="I511" s="11"/>
      <c r="J511" s="11"/>
      <c r="K511" s="11"/>
      <c r="L511" s="15"/>
      <c r="M511" s="15"/>
      <c r="N511" s="15"/>
      <c r="O511" s="15"/>
      <c r="P511" s="15"/>
      <c r="Q511" s="11"/>
      <c r="R511" s="11"/>
      <c r="S511" s="11"/>
      <c r="T511" s="11"/>
      <c r="U511" s="15"/>
      <c r="V511" s="11"/>
      <c r="W511" s="11"/>
      <c r="X511" s="11"/>
      <c r="Y511" s="11"/>
      <c r="Z511" s="11"/>
    </row>
    <row r="512">
      <c r="A512" s="18"/>
      <c r="B512" s="11"/>
      <c r="C512" s="11"/>
      <c r="D512" s="11"/>
      <c r="E512" s="11"/>
      <c r="F512" s="11"/>
      <c r="G512" s="11"/>
      <c r="H512" s="11"/>
      <c r="I512" s="11"/>
      <c r="J512" s="11"/>
      <c r="K512" s="11"/>
      <c r="L512" s="15"/>
      <c r="M512" s="15"/>
      <c r="N512" s="15"/>
      <c r="O512" s="15"/>
      <c r="P512" s="15"/>
      <c r="Q512" s="11"/>
      <c r="R512" s="11"/>
      <c r="S512" s="11"/>
      <c r="T512" s="11"/>
      <c r="U512" s="15"/>
      <c r="V512" s="11"/>
      <c r="W512" s="11"/>
      <c r="X512" s="11"/>
      <c r="Y512" s="11"/>
      <c r="Z512" s="11"/>
    </row>
    <row r="513">
      <c r="A513" s="18"/>
      <c r="B513" s="11"/>
      <c r="C513" s="11"/>
      <c r="D513" s="11"/>
      <c r="E513" s="11"/>
      <c r="F513" s="11"/>
      <c r="G513" s="11"/>
      <c r="H513" s="11"/>
      <c r="I513" s="11"/>
      <c r="J513" s="11"/>
      <c r="K513" s="11"/>
      <c r="L513" s="15"/>
      <c r="M513" s="15"/>
      <c r="N513" s="15"/>
      <c r="O513" s="15"/>
      <c r="P513" s="15"/>
      <c r="Q513" s="11"/>
      <c r="R513" s="11"/>
      <c r="S513" s="11"/>
      <c r="T513" s="11"/>
      <c r="U513" s="15"/>
      <c r="V513" s="11"/>
      <c r="W513" s="11"/>
      <c r="X513" s="11"/>
      <c r="Y513" s="11"/>
      <c r="Z513" s="11"/>
    </row>
    <row r="514">
      <c r="A514" s="18"/>
      <c r="B514" s="11"/>
      <c r="C514" s="11"/>
      <c r="D514" s="11"/>
      <c r="E514" s="11"/>
      <c r="F514" s="11"/>
      <c r="G514" s="11"/>
      <c r="H514" s="11"/>
      <c r="I514" s="11"/>
      <c r="J514" s="11"/>
      <c r="K514" s="11"/>
      <c r="L514" s="15"/>
      <c r="M514" s="15"/>
      <c r="N514" s="15"/>
      <c r="O514" s="15"/>
      <c r="P514" s="15"/>
      <c r="Q514" s="11"/>
      <c r="R514" s="11"/>
      <c r="S514" s="11"/>
      <c r="T514" s="11"/>
      <c r="U514" s="15"/>
      <c r="V514" s="11"/>
      <c r="W514" s="11"/>
      <c r="X514" s="11"/>
      <c r="Y514" s="11"/>
      <c r="Z514" s="11"/>
    </row>
    <row r="515">
      <c r="A515" s="18"/>
      <c r="B515" s="11"/>
      <c r="C515" s="11"/>
      <c r="D515" s="11"/>
      <c r="E515" s="11"/>
      <c r="F515" s="11"/>
      <c r="G515" s="11"/>
      <c r="H515" s="11"/>
      <c r="I515" s="11"/>
      <c r="J515" s="11"/>
      <c r="K515" s="11"/>
      <c r="L515" s="15"/>
      <c r="M515" s="15"/>
      <c r="N515" s="15"/>
      <c r="O515" s="15"/>
      <c r="P515" s="15"/>
      <c r="Q515" s="11"/>
      <c r="R515" s="11"/>
      <c r="S515" s="11"/>
      <c r="T515" s="11"/>
      <c r="U515" s="15"/>
      <c r="V515" s="11"/>
      <c r="W515" s="11"/>
      <c r="X515" s="11"/>
      <c r="Y515" s="11"/>
      <c r="Z515" s="11"/>
    </row>
    <row r="516">
      <c r="A516" s="18"/>
      <c r="B516" s="11"/>
      <c r="C516" s="11"/>
      <c r="D516" s="11"/>
      <c r="E516" s="11"/>
      <c r="F516" s="11"/>
      <c r="G516" s="11"/>
      <c r="H516" s="11"/>
      <c r="I516" s="11"/>
      <c r="J516" s="11"/>
      <c r="K516" s="11"/>
      <c r="L516" s="15"/>
      <c r="M516" s="15"/>
      <c r="N516" s="15"/>
      <c r="O516" s="15"/>
      <c r="P516" s="15"/>
      <c r="Q516" s="11"/>
      <c r="R516" s="11"/>
      <c r="S516" s="11"/>
      <c r="T516" s="11"/>
      <c r="U516" s="15"/>
      <c r="V516" s="11"/>
      <c r="W516" s="11"/>
      <c r="X516" s="11"/>
      <c r="Y516" s="11"/>
      <c r="Z516" s="11"/>
    </row>
    <row r="517">
      <c r="A517" s="18"/>
      <c r="B517" s="11"/>
      <c r="C517" s="11"/>
      <c r="D517" s="11"/>
      <c r="E517" s="11"/>
      <c r="F517" s="11"/>
      <c r="G517" s="11"/>
      <c r="H517" s="11"/>
      <c r="I517" s="11"/>
      <c r="J517" s="11"/>
      <c r="K517" s="11"/>
      <c r="L517" s="15"/>
      <c r="M517" s="15"/>
      <c r="N517" s="15"/>
      <c r="O517" s="15"/>
      <c r="P517" s="15"/>
      <c r="Q517" s="11"/>
      <c r="R517" s="11"/>
      <c r="S517" s="11"/>
      <c r="T517" s="11"/>
      <c r="U517" s="15"/>
      <c r="V517" s="11"/>
      <c r="W517" s="11"/>
      <c r="X517" s="11"/>
      <c r="Y517" s="11"/>
      <c r="Z517" s="11"/>
    </row>
    <row r="518">
      <c r="A518" s="18"/>
      <c r="B518" s="11"/>
      <c r="C518" s="11"/>
      <c r="D518" s="11"/>
      <c r="E518" s="11"/>
      <c r="F518" s="11"/>
      <c r="G518" s="11"/>
      <c r="H518" s="11"/>
      <c r="I518" s="11"/>
      <c r="J518" s="11"/>
      <c r="K518" s="11"/>
      <c r="L518" s="15"/>
      <c r="M518" s="15"/>
      <c r="N518" s="15"/>
      <c r="O518" s="15"/>
      <c r="P518" s="15"/>
      <c r="Q518" s="11"/>
      <c r="R518" s="11"/>
      <c r="S518" s="11"/>
      <c r="T518" s="11"/>
      <c r="U518" s="15"/>
      <c r="V518" s="11"/>
      <c r="W518" s="11"/>
      <c r="X518" s="11"/>
      <c r="Y518" s="11"/>
      <c r="Z518" s="11"/>
    </row>
    <row r="519">
      <c r="A519" s="18"/>
      <c r="B519" s="11"/>
      <c r="C519" s="11"/>
      <c r="D519" s="11"/>
      <c r="E519" s="11"/>
      <c r="F519" s="11"/>
      <c r="G519" s="11"/>
      <c r="H519" s="11"/>
      <c r="I519" s="11"/>
      <c r="J519" s="11"/>
      <c r="K519" s="11"/>
      <c r="L519" s="15"/>
      <c r="M519" s="15"/>
      <c r="N519" s="15"/>
      <c r="O519" s="15"/>
      <c r="P519" s="15"/>
      <c r="Q519" s="11"/>
      <c r="R519" s="11"/>
      <c r="S519" s="11"/>
      <c r="T519" s="11"/>
      <c r="U519" s="15"/>
      <c r="V519" s="11"/>
      <c r="W519" s="11"/>
      <c r="X519" s="11"/>
      <c r="Y519" s="11"/>
      <c r="Z519" s="11"/>
    </row>
    <row r="520">
      <c r="A520" s="18"/>
      <c r="B520" s="11"/>
      <c r="C520" s="11"/>
      <c r="D520" s="11"/>
      <c r="E520" s="11"/>
      <c r="F520" s="11"/>
      <c r="G520" s="11"/>
      <c r="H520" s="11"/>
      <c r="I520" s="11"/>
      <c r="J520" s="11"/>
      <c r="K520" s="11"/>
      <c r="L520" s="15"/>
      <c r="M520" s="15"/>
      <c r="N520" s="15"/>
      <c r="O520" s="15"/>
      <c r="P520" s="15"/>
      <c r="Q520" s="11"/>
      <c r="R520" s="11"/>
      <c r="S520" s="11"/>
      <c r="T520" s="11"/>
      <c r="U520" s="15"/>
      <c r="V520" s="11"/>
      <c r="W520" s="11"/>
      <c r="X520" s="11"/>
      <c r="Y520" s="11"/>
      <c r="Z520" s="11"/>
    </row>
    <row r="521">
      <c r="A521" s="18"/>
      <c r="B521" s="11"/>
      <c r="C521" s="11"/>
      <c r="D521" s="11"/>
      <c r="E521" s="11"/>
      <c r="F521" s="11"/>
      <c r="G521" s="11"/>
      <c r="H521" s="11"/>
      <c r="I521" s="11"/>
      <c r="J521" s="11"/>
      <c r="K521" s="11"/>
      <c r="L521" s="15"/>
      <c r="M521" s="15"/>
      <c r="N521" s="15"/>
      <c r="O521" s="15"/>
      <c r="P521" s="15"/>
      <c r="Q521" s="11"/>
      <c r="R521" s="11"/>
      <c r="S521" s="11"/>
      <c r="T521" s="11"/>
      <c r="U521" s="15"/>
      <c r="V521" s="11"/>
      <c r="W521" s="11"/>
      <c r="X521" s="11"/>
      <c r="Y521" s="11"/>
      <c r="Z521" s="11"/>
    </row>
    <row r="522">
      <c r="A522" s="18"/>
      <c r="B522" s="11"/>
      <c r="C522" s="11"/>
      <c r="D522" s="11"/>
      <c r="E522" s="11"/>
      <c r="F522" s="11"/>
      <c r="G522" s="11"/>
      <c r="H522" s="11"/>
      <c r="I522" s="11"/>
      <c r="J522" s="11"/>
      <c r="K522" s="11"/>
      <c r="L522" s="15"/>
      <c r="M522" s="15"/>
      <c r="N522" s="15"/>
      <c r="O522" s="15"/>
      <c r="P522" s="15"/>
      <c r="Q522" s="11"/>
      <c r="R522" s="11"/>
      <c r="S522" s="11"/>
      <c r="T522" s="11"/>
      <c r="U522" s="15"/>
      <c r="V522" s="11"/>
      <c r="W522" s="11"/>
      <c r="X522" s="11"/>
      <c r="Y522" s="11"/>
      <c r="Z522" s="11"/>
    </row>
    <row r="523">
      <c r="A523" s="18"/>
      <c r="B523" s="11"/>
      <c r="C523" s="11"/>
      <c r="D523" s="11"/>
      <c r="E523" s="11"/>
      <c r="F523" s="11"/>
      <c r="G523" s="11"/>
      <c r="H523" s="11"/>
      <c r="I523" s="11"/>
      <c r="J523" s="11"/>
      <c r="K523" s="11"/>
      <c r="L523" s="15"/>
      <c r="M523" s="15"/>
      <c r="N523" s="15"/>
      <c r="O523" s="15"/>
      <c r="P523" s="15"/>
      <c r="Q523" s="11"/>
      <c r="R523" s="11"/>
      <c r="S523" s="11"/>
      <c r="T523" s="11"/>
      <c r="U523" s="15"/>
      <c r="V523" s="11"/>
      <c r="W523" s="11"/>
      <c r="X523" s="11"/>
      <c r="Y523" s="11"/>
      <c r="Z523" s="11"/>
    </row>
    <row r="524">
      <c r="A524" s="18"/>
      <c r="B524" s="11"/>
      <c r="C524" s="11"/>
      <c r="D524" s="11"/>
      <c r="E524" s="11"/>
      <c r="F524" s="11"/>
      <c r="G524" s="11"/>
      <c r="H524" s="11"/>
      <c r="I524" s="11"/>
      <c r="J524" s="11"/>
      <c r="K524" s="11"/>
      <c r="L524" s="15"/>
      <c r="M524" s="15"/>
      <c r="N524" s="15"/>
      <c r="O524" s="15"/>
      <c r="P524" s="15"/>
      <c r="Q524" s="11"/>
      <c r="R524" s="11"/>
      <c r="S524" s="11"/>
      <c r="T524" s="11"/>
      <c r="U524" s="15"/>
      <c r="V524" s="11"/>
      <c r="W524" s="11"/>
      <c r="X524" s="11"/>
      <c r="Y524" s="11"/>
      <c r="Z524" s="11"/>
    </row>
    <row r="525">
      <c r="A525" s="18"/>
      <c r="B525" s="11"/>
      <c r="C525" s="11"/>
      <c r="D525" s="11"/>
      <c r="E525" s="11"/>
      <c r="F525" s="11"/>
      <c r="G525" s="11"/>
      <c r="H525" s="11"/>
      <c r="I525" s="11"/>
      <c r="J525" s="11"/>
      <c r="K525" s="11"/>
      <c r="L525" s="15"/>
      <c r="M525" s="15"/>
      <c r="N525" s="15"/>
      <c r="O525" s="15"/>
      <c r="P525" s="15"/>
      <c r="Q525" s="11"/>
      <c r="R525" s="11"/>
      <c r="S525" s="11"/>
      <c r="T525" s="11"/>
      <c r="U525" s="15"/>
      <c r="V525" s="11"/>
      <c r="W525" s="11"/>
      <c r="X525" s="11"/>
      <c r="Y525" s="11"/>
      <c r="Z525" s="11"/>
    </row>
    <row r="526">
      <c r="A526" s="18"/>
      <c r="B526" s="11"/>
      <c r="C526" s="11"/>
      <c r="D526" s="11"/>
      <c r="E526" s="11"/>
      <c r="F526" s="11"/>
      <c r="G526" s="11"/>
      <c r="H526" s="11"/>
      <c r="I526" s="11"/>
      <c r="J526" s="11"/>
      <c r="K526" s="11"/>
      <c r="L526" s="15"/>
      <c r="M526" s="15"/>
      <c r="N526" s="15"/>
      <c r="O526" s="15"/>
      <c r="P526" s="15"/>
      <c r="Q526" s="11"/>
      <c r="R526" s="11"/>
      <c r="S526" s="11"/>
      <c r="T526" s="11"/>
      <c r="U526" s="15"/>
      <c r="V526" s="11"/>
      <c r="W526" s="11"/>
      <c r="X526" s="11"/>
      <c r="Y526" s="11"/>
      <c r="Z526" s="11"/>
    </row>
    <row r="527">
      <c r="A527" s="18"/>
      <c r="B527" s="11"/>
      <c r="C527" s="11"/>
      <c r="D527" s="11"/>
      <c r="E527" s="11"/>
      <c r="F527" s="11"/>
      <c r="G527" s="11"/>
      <c r="H527" s="11"/>
      <c r="I527" s="11"/>
      <c r="J527" s="11"/>
      <c r="K527" s="11"/>
      <c r="L527" s="15"/>
      <c r="M527" s="15"/>
      <c r="N527" s="15"/>
      <c r="O527" s="15"/>
      <c r="P527" s="15"/>
      <c r="Q527" s="11"/>
      <c r="R527" s="11"/>
      <c r="S527" s="11"/>
      <c r="T527" s="11"/>
      <c r="U527" s="15"/>
      <c r="V527" s="11"/>
      <c r="W527" s="11"/>
      <c r="X527" s="11"/>
      <c r="Y527" s="11"/>
      <c r="Z527" s="11"/>
    </row>
    <row r="528">
      <c r="A528" s="18"/>
      <c r="B528" s="11"/>
      <c r="C528" s="11"/>
      <c r="D528" s="11"/>
      <c r="E528" s="11"/>
      <c r="F528" s="11"/>
      <c r="G528" s="11"/>
      <c r="H528" s="11"/>
      <c r="I528" s="11"/>
      <c r="J528" s="11"/>
      <c r="K528" s="11"/>
      <c r="L528" s="15"/>
      <c r="M528" s="15"/>
      <c r="N528" s="15"/>
      <c r="O528" s="15"/>
      <c r="P528" s="15"/>
      <c r="Q528" s="11"/>
      <c r="R528" s="11"/>
      <c r="S528" s="11"/>
      <c r="T528" s="11"/>
      <c r="U528" s="15"/>
      <c r="V528" s="11"/>
      <c r="W528" s="11"/>
      <c r="X528" s="11"/>
      <c r="Y528" s="11"/>
      <c r="Z528" s="11"/>
    </row>
    <row r="529">
      <c r="A529" s="18"/>
      <c r="B529" s="11"/>
      <c r="C529" s="11"/>
      <c r="D529" s="11"/>
      <c r="E529" s="11"/>
      <c r="F529" s="11"/>
      <c r="G529" s="11"/>
      <c r="H529" s="11"/>
      <c r="I529" s="11"/>
      <c r="J529" s="11"/>
      <c r="K529" s="11"/>
      <c r="L529" s="15"/>
      <c r="M529" s="15"/>
      <c r="N529" s="15"/>
      <c r="O529" s="15"/>
      <c r="P529" s="15"/>
      <c r="Q529" s="11"/>
      <c r="R529" s="11"/>
      <c r="S529" s="11"/>
      <c r="T529" s="11"/>
      <c r="U529" s="15"/>
      <c r="V529" s="11"/>
      <c r="W529" s="11"/>
      <c r="X529" s="11"/>
      <c r="Y529" s="11"/>
      <c r="Z529" s="11"/>
    </row>
    <row r="530">
      <c r="A530" s="18"/>
      <c r="B530" s="11"/>
      <c r="C530" s="11"/>
      <c r="D530" s="11"/>
      <c r="E530" s="11"/>
      <c r="F530" s="11"/>
      <c r="G530" s="11"/>
      <c r="H530" s="11"/>
      <c r="I530" s="11"/>
      <c r="J530" s="11"/>
      <c r="K530" s="11"/>
      <c r="L530" s="15"/>
      <c r="M530" s="15"/>
      <c r="N530" s="15"/>
      <c r="O530" s="15"/>
      <c r="P530" s="15"/>
      <c r="Q530" s="11"/>
      <c r="R530" s="11"/>
      <c r="S530" s="11"/>
      <c r="T530" s="11"/>
      <c r="U530" s="15"/>
      <c r="V530" s="11"/>
      <c r="W530" s="11"/>
      <c r="X530" s="11"/>
      <c r="Y530" s="11"/>
      <c r="Z530" s="11"/>
    </row>
    <row r="531">
      <c r="A531" s="18"/>
      <c r="B531" s="11"/>
      <c r="C531" s="11"/>
      <c r="D531" s="11"/>
      <c r="E531" s="11"/>
      <c r="F531" s="11"/>
      <c r="G531" s="11"/>
      <c r="H531" s="11"/>
      <c r="I531" s="11"/>
      <c r="J531" s="11"/>
      <c r="K531" s="11"/>
      <c r="L531" s="15"/>
      <c r="M531" s="15"/>
      <c r="N531" s="15"/>
      <c r="O531" s="15"/>
      <c r="P531" s="15"/>
      <c r="Q531" s="11"/>
      <c r="R531" s="11"/>
      <c r="S531" s="11"/>
      <c r="T531" s="11"/>
      <c r="U531" s="15"/>
      <c r="V531" s="11"/>
      <c r="W531" s="11"/>
      <c r="X531" s="11"/>
      <c r="Y531" s="11"/>
      <c r="Z531" s="11"/>
    </row>
    <row r="532">
      <c r="A532" s="18"/>
      <c r="B532" s="11"/>
      <c r="C532" s="11"/>
      <c r="D532" s="11"/>
      <c r="E532" s="11"/>
      <c r="F532" s="11"/>
      <c r="G532" s="11"/>
      <c r="H532" s="11"/>
      <c r="I532" s="11"/>
      <c r="J532" s="11"/>
      <c r="K532" s="11"/>
      <c r="L532" s="15"/>
      <c r="M532" s="15"/>
      <c r="N532" s="15"/>
      <c r="O532" s="15"/>
      <c r="P532" s="15"/>
      <c r="Q532" s="11"/>
      <c r="R532" s="11"/>
      <c r="S532" s="11"/>
      <c r="T532" s="11"/>
      <c r="U532" s="15"/>
      <c r="V532" s="11"/>
      <c r="W532" s="11"/>
      <c r="X532" s="11"/>
      <c r="Y532" s="11"/>
      <c r="Z532" s="11"/>
    </row>
    <row r="533">
      <c r="A533" s="18"/>
      <c r="B533" s="11"/>
      <c r="C533" s="11"/>
      <c r="D533" s="11"/>
      <c r="E533" s="11"/>
      <c r="F533" s="11"/>
      <c r="G533" s="11"/>
      <c r="H533" s="11"/>
      <c r="I533" s="11"/>
      <c r="J533" s="11"/>
      <c r="K533" s="11"/>
      <c r="L533" s="15"/>
      <c r="M533" s="15"/>
      <c r="N533" s="15"/>
      <c r="O533" s="15"/>
      <c r="P533" s="15"/>
      <c r="Q533" s="11"/>
      <c r="R533" s="11"/>
      <c r="S533" s="11"/>
      <c r="T533" s="11"/>
      <c r="U533" s="15"/>
      <c r="V533" s="11"/>
      <c r="W533" s="11"/>
      <c r="X533" s="11"/>
      <c r="Y533" s="11"/>
      <c r="Z533" s="11"/>
    </row>
    <row r="534">
      <c r="A534" s="18"/>
      <c r="B534" s="11"/>
      <c r="C534" s="11"/>
      <c r="D534" s="11"/>
      <c r="E534" s="11"/>
      <c r="F534" s="11"/>
      <c r="G534" s="11"/>
      <c r="H534" s="11"/>
      <c r="I534" s="11"/>
      <c r="J534" s="11"/>
      <c r="K534" s="11"/>
      <c r="L534" s="15"/>
      <c r="M534" s="15"/>
      <c r="N534" s="15"/>
      <c r="O534" s="15"/>
      <c r="P534" s="15"/>
      <c r="Q534" s="11"/>
      <c r="R534" s="11"/>
      <c r="S534" s="11"/>
      <c r="T534" s="11"/>
      <c r="U534" s="15"/>
      <c r="V534" s="11"/>
      <c r="W534" s="11"/>
      <c r="X534" s="11"/>
      <c r="Y534" s="11"/>
      <c r="Z534" s="11"/>
    </row>
    <row r="535">
      <c r="A535" s="18"/>
      <c r="B535" s="11"/>
      <c r="C535" s="11"/>
      <c r="D535" s="11"/>
      <c r="E535" s="11"/>
      <c r="F535" s="11"/>
      <c r="G535" s="11"/>
      <c r="H535" s="11"/>
      <c r="I535" s="11"/>
      <c r="J535" s="11"/>
      <c r="K535" s="11"/>
      <c r="L535" s="15"/>
      <c r="M535" s="15"/>
      <c r="N535" s="15"/>
      <c r="O535" s="15"/>
      <c r="P535" s="15"/>
      <c r="Q535" s="11"/>
      <c r="R535" s="11"/>
      <c r="S535" s="11"/>
      <c r="T535" s="11"/>
      <c r="U535" s="15"/>
      <c r="V535" s="11"/>
      <c r="W535" s="11"/>
      <c r="X535" s="11"/>
      <c r="Y535" s="11"/>
      <c r="Z535" s="11"/>
    </row>
    <row r="536">
      <c r="A536" s="18"/>
      <c r="B536" s="11"/>
      <c r="C536" s="11"/>
      <c r="D536" s="11"/>
      <c r="E536" s="11"/>
      <c r="F536" s="11"/>
      <c r="G536" s="11"/>
      <c r="H536" s="11"/>
      <c r="I536" s="11"/>
      <c r="J536" s="11"/>
      <c r="K536" s="11"/>
      <c r="L536" s="15"/>
      <c r="M536" s="15"/>
      <c r="N536" s="15"/>
      <c r="O536" s="15"/>
      <c r="P536" s="15"/>
      <c r="Q536" s="11"/>
      <c r="R536" s="11"/>
      <c r="S536" s="11"/>
      <c r="T536" s="11"/>
      <c r="U536" s="15"/>
      <c r="V536" s="11"/>
      <c r="W536" s="11"/>
      <c r="X536" s="11"/>
      <c r="Y536" s="11"/>
      <c r="Z536" s="11"/>
    </row>
    <row r="537">
      <c r="A537" s="18"/>
      <c r="B537" s="11"/>
      <c r="C537" s="11"/>
      <c r="D537" s="11"/>
      <c r="E537" s="11"/>
      <c r="F537" s="11"/>
      <c r="G537" s="11"/>
      <c r="H537" s="11"/>
      <c r="I537" s="11"/>
      <c r="J537" s="11"/>
      <c r="K537" s="11"/>
      <c r="L537" s="15"/>
      <c r="M537" s="15"/>
      <c r="N537" s="15"/>
      <c r="O537" s="15"/>
      <c r="P537" s="15"/>
      <c r="Q537" s="11"/>
      <c r="R537" s="11"/>
      <c r="S537" s="11"/>
      <c r="T537" s="11"/>
      <c r="U537" s="15"/>
      <c r="V537" s="11"/>
      <c r="W537" s="11"/>
      <c r="X537" s="11"/>
      <c r="Y537" s="11"/>
      <c r="Z537" s="11"/>
    </row>
    <row r="538">
      <c r="A538" s="18"/>
      <c r="B538" s="11"/>
      <c r="C538" s="11"/>
      <c r="D538" s="11"/>
      <c r="E538" s="11"/>
      <c r="F538" s="11"/>
      <c r="G538" s="11"/>
      <c r="H538" s="11"/>
      <c r="I538" s="11"/>
      <c r="J538" s="11"/>
      <c r="K538" s="11"/>
      <c r="L538" s="15"/>
      <c r="M538" s="15"/>
      <c r="N538" s="15"/>
      <c r="O538" s="15"/>
      <c r="P538" s="15"/>
      <c r="Q538" s="11"/>
      <c r="R538" s="11"/>
      <c r="S538" s="11"/>
      <c r="T538" s="11"/>
      <c r="U538" s="15"/>
      <c r="V538" s="11"/>
      <c r="W538" s="11"/>
      <c r="X538" s="11"/>
      <c r="Y538" s="11"/>
      <c r="Z538" s="11"/>
    </row>
    <row r="539">
      <c r="A539" s="18"/>
      <c r="B539" s="11"/>
      <c r="C539" s="11"/>
      <c r="D539" s="11"/>
      <c r="E539" s="11"/>
      <c r="F539" s="11"/>
      <c r="G539" s="11"/>
      <c r="H539" s="11"/>
      <c r="I539" s="11"/>
      <c r="J539" s="11"/>
      <c r="K539" s="11"/>
      <c r="L539" s="15"/>
      <c r="M539" s="15"/>
      <c r="N539" s="15"/>
      <c r="O539" s="15"/>
      <c r="P539" s="15"/>
      <c r="Q539" s="11"/>
      <c r="R539" s="11"/>
      <c r="S539" s="11"/>
      <c r="T539" s="11"/>
      <c r="U539" s="15"/>
      <c r="V539" s="11"/>
      <c r="W539" s="11"/>
      <c r="X539" s="11"/>
      <c r="Y539" s="11"/>
      <c r="Z539" s="11"/>
    </row>
    <row r="540">
      <c r="A540" s="18"/>
      <c r="B540" s="11"/>
      <c r="C540" s="11"/>
      <c r="D540" s="11"/>
      <c r="E540" s="11"/>
      <c r="F540" s="11"/>
      <c r="G540" s="11"/>
      <c r="H540" s="11"/>
      <c r="I540" s="11"/>
      <c r="J540" s="11"/>
      <c r="K540" s="11"/>
      <c r="L540" s="15"/>
      <c r="M540" s="15"/>
      <c r="N540" s="15"/>
      <c r="O540" s="15"/>
      <c r="P540" s="15"/>
      <c r="Q540" s="11"/>
      <c r="R540" s="11"/>
      <c r="S540" s="11"/>
      <c r="T540" s="11"/>
      <c r="U540" s="15"/>
      <c r="V540" s="11"/>
      <c r="W540" s="11"/>
      <c r="X540" s="11"/>
      <c r="Y540" s="11"/>
      <c r="Z540" s="11"/>
    </row>
    <row r="541">
      <c r="A541" s="18"/>
      <c r="B541" s="11"/>
      <c r="C541" s="11"/>
      <c r="D541" s="11"/>
      <c r="E541" s="11"/>
      <c r="F541" s="11"/>
      <c r="G541" s="11"/>
      <c r="H541" s="11"/>
      <c r="I541" s="11"/>
      <c r="J541" s="11"/>
      <c r="K541" s="11"/>
      <c r="L541" s="15"/>
      <c r="M541" s="15"/>
      <c r="N541" s="15"/>
      <c r="O541" s="15"/>
      <c r="P541" s="15"/>
      <c r="Q541" s="11"/>
      <c r="R541" s="11"/>
      <c r="S541" s="11"/>
      <c r="T541" s="11"/>
      <c r="U541" s="15"/>
      <c r="V541" s="11"/>
      <c r="W541" s="11"/>
      <c r="X541" s="11"/>
      <c r="Y541" s="11"/>
      <c r="Z541" s="11"/>
    </row>
    <row r="542">
      <c r="A542" s="18"/>
      <c r="B542" s="11"/>
      <c r="C542" s="11"/>
      <c r="D542" s="11"/>
      <c r="E542" s="11"/>
      <c r="F542" s="11"/>
      <c r="G542" s="11"/>
      <c r="H542" s="11"/>
      <c r="I542" s="11"/>
      <c r="J542" s="11"/>
      <c r="K542" s="11"/>
      <c r="L542" s="15"/>
      <c r="M542" s="15"/>
      <c r="N542" s="15"/>
      <c r="O542" s="15"/>
      <c r="P542" s="15"/>
      <c r="Q542" s="11"/>
      <c r="R542" s="11"/>
      <c r="S542" s="11"/>
      <c r="T542" s="11"/>
      <c r="U542" s="15"/>
      <c r="V542" s="11"/>
      <c r="W542" s="11"/>
      <c r="X542" s="11"/>
      <c r="Y542" s="11"/>
      <c r="Z542" s="11"/>
    </row>
    <row r="543">
      <c r="A543" s="18"/>
      <c r="B543" s="11"/>
      <c r="C543" s="11"/>
      <c r="D543" s="11"/>
      <c r="E543" s="11"/>
      <c r="F543" s="11"/>
      <c r="G543" s="11"/>
      <c r="H543" s="11"/>
      <c r="I543" s="11"/>
      <c r="J543" s="11"/>
      <c r="K543" s="11"/>
      <c r="L543" s="15"/>
      <c r="M543" s="15"/>
      <c r="N543" s="15"/>
      <c r="O543" s="15"/>
      <c r="P543" s="15"/>
      <c r="Q543" s="11"/>
      <c r="R543" s="11"/>
      <c r="S543" s="11"/>
      <c r="T543" s="11"/>
      <c r="U543" s="15"/>
      <c r="V543" s="11"/>
      <c r="W543" s="11"/>
      <c r="X543" s="11"/>
      <c r="Y543" s="11"/>
      <c r="Z543" s="11"/>
    </row>
    <row r="544">
      <c r="A544" s="18"/>
      <c r="B544" s="11"/>
      <c r="C544" s="11"/>
      <c r="D544" s="11"/>
      <c r="E544" s="11"/>
      <c r="F544" s="11"/>
      <c r="G544" s="11"/>
      <c r="H544" s="11"/>
      <c r="I544" s="11"/>
      <c r="J544" s="11"/>
      <c r="K544" s="11"/>
      <c r="L544" s="15"/>
      <c r="M544" s="15"/>
      <c r="N544" s="15"/>
      <c r="O544" s="15"/>
      <c r="P544" s="15"/>
      <c r="Q544" s="11"/>
      <c r="R544" s="11"/>
      <c r="S544" s="11"/>
      <c r="T544" s="11"/>
      <c r="U544" s="15"/>
      <c r="V544" s="11"/>
      <c r="W544" s="11"/>
      <c r="X544" s="11"/>
      <c r="Y544" s="11"/>
      <c r="Z544" s="11"/>
    </row>
    <row r="545">
      <c r="A545" s="18"/>
      <c r="B545" s="11"/>
      <c r="C545" s="11"/>
      <c r="D545" s="11"/>
      <c r="E545" s="11"/>
      <c r="F545" s="11"/>
      <c r="G545" s="11"/>
      <c r="H545" s="11"/>
      <c r="I545" s="11"/>
      <c r="J545" s="11"/>
      <c r="K545" s="11"/>
      <c r="L545" s="15"/>
      <c r="M545" s="15"/>
      <c r="N545" s="15"/>
      <c r="O545" s="15"/>
      <c r="P545" s="15"/>
      <c r="Q545" s="11"/>
      <c r="R545" s="11"/>
      <c r="S545" s="11"/>
      <c r="T545" s="11"/>
      <c r="U545" s="15"/>
      <c r="V545" s="11"/>
      <c r="W545" s="11"/>
      <c r="X545" s="11"/>
      <c r="Y545" s="11"/>
      <c r="Z545" s="11"/>
    </row>
    <row r="546">
      <c r="A546" s="18"/>
      <c r="B546" s="11"/>
      <c r="C546" s="11"/>
      <c r="D546" s="11"/>
      <c r="E546" s="11"/>
      <c r="F546" s="11"/>
      <c r="G546" s="11"/>
      <c r="H546" s="11"/>
      <c r="I546" s="11"/>
      <c r="J546" s="11"/>
      <c r="K546" s="11"/>
      <c r="L546" s="15"/>
      <c r="M546" s="15"/>
      <c r="N546" s="15"/>
      <c r="O546" s="15"/>
      <c r="P546" s="15"/>
      <c r="Q546" s="11"/>
      <c r="R546" s="11"/>
      <c r="S546" s="11"/>
      <c r="T546" s="11"/>
      <c r="U546" s="15"/>
      <c r="V546" s="11"/>
      <c r="W546" s="11"/>
      <c r="X546" s="11"/>
      <c r="Y546" s="11"/>
      <c r="Z546" s="11"/>
    </row>
    <row r="547">
      <c r="A547" s="18"/>
      <c r="B547" s="11"/>
      <c r="C547" s="11"/>
      <c r="D547" s="11"/>
      <c r="E547" s="11"/>
      <c r="F547" s="11"/>
      <c r="G547" s="11"/>
      <c r="H547" s="11"/>
      <c r="I547" s="11"/>
      <c r="J547" s="11"/>
      <c r="K547" s="11"/>
      <c r="L547" s="15"/>
      <c r="M547" s="15"/>
      <c r="N547" s="15"/>
      <c r="O547" s="15"/>
      <c r="P547" s="15"/>
      <c r="Q547" s="11"/>
      <c r="R547" s="11"/>
      <c r="S547" s="11"/>
      <c r="T547" s="11"/>
      <c r="U547" s="15"/>
      <c r="V547" s="11"/>
      <c r="W547" s="11"/>
      <c r="X547" s="11"/>
      <c r="Y547" s="11"/>
      <c r="Z547" s="11"/>
    </row>
    <row r="548">
      <c r="A548" s="18"/>
      <c r="B548" s="11"/>
      <c r="C548" s="11"/>
      <c r="D548" s="11"/>
      <c r="E548" s="11"/>
      <c r="F548" s="11"/>
      <c r="G548" s="11"/>
      <c r="H548" s="11"/>
      <c r="I548" s="11"/>
      <c r="J548" s="11"/>
      <c r="K548" s="11"/>
      <c r="L548" s="15"/>
      <c r="M548" s="15"/>
      <c r="N548" s="15"/>
      <c r="O548" s="15"/>
      <c r="P548" s="15"/>
      <c r="Q548" s="11"/>
      <c r="R548" s="11"/>
      <c r="S548" s="11"/>
      <c r="T548" s="11"/>
      <c r="U548" s="15"/>
      <c r="V548" s="11"/>
      <c r="W548" s="11"/>
      <c r="X548" s="11"/>
      <c r="Y548" s="11"/>
      <c r="Z548" s="11"/>
    </row>
    <row r="549">
      <c r="A549" s="18"/>
      <c r="B549" s="11"/>
      <c r="C549" s="11"/>
      <c r="D549" s="11"/>
      <c r="E549" s="11"/>
      <c r="F549" s="11"/>
      <c r="G549" s="11"/>
      <c r="H549" s="11"/>
      <c r="I549" s="11"/>
      <c r="J549" s="11"/>
      <c r="K549" s="11"/>
      <c r="L549" s="15"/>
      <c r="M549" s="15"/>
      <c r="N549" s="15"/>
      <c r="O549" s="15"/>
      <c r="P549" s="15"/>
      <c r="Q549" s="11"/>
      <c r="R549" s="11"/>
      <c r="S549" s="11"/>
      <c r="T549" s="11"/>
      <c r="U549" s="15"/>
      <c r="V549" s="11"/>
      <c r="W549" s="11"/>
      <c r="X549" s="11"/>
      <c r="Y549" s="11"/>
      <c r="Z549" s="11"/>
    </row>
    <row r="550">
      <c r="A550" s="18"/>
      <c r="B550" s="11"/>
      <c r="C550" s="11"/>
      <c r="D550" s="11"/>
      <c r="E550" s="11"/>
      <c r="F550" s="11"/>
      <c r="G550" s="11"/>
      <c r="H550" s="11"/>
      <c r="I550" s="11"/>
      <c r="J550" s="11"/>
      <c r="K550" s="11"/>
      <c r="L550" s="15"/>
      <c r="M550" s="15"/>
      <c r="N550" s="15"/>
      <c r="O550" s="15"/>
      <c r="P550" s="15"/>
      <c r="Q550" s="11"/>
      <c r="R550" s="11"/>
      <c r="S550" s="11"/>
      <c r="T550" s="11"/>
      <c r="U550" s="15"/>
      <c r="V550" s="11"/>
      <c r="W550" s="11"/>
      <c r="X550" s="11"/>
      <c r="Y550" s="11"/>
      <c r="Z550" s="11"/>
    </row>
    <row r="551">
      <c r="A551" s="18"/>
      <c r="B551" s="11"/>
      <c r="C551" s="11"/>
      <c r="D551" s="11"/>
      <c r="E551" s="11"/>
      <c r="F551" s="11"/>
      <c r="G551" s="11"/>
      <c r="H551" s="11"/>
      <c r="I551" s="11"/>
      <c r="J551" s="11"/>
      <c r="K551" s="11"/>
      <c r="L551" s="15"/>
      <c r="M551" s="15"/>
      <c r="N551" s="15"/>
      <c r="O551" s="15"/>
      <c r="P551" s="15"/>
      <c r="Q551" s="11"/>
      <c r="R551" s="11"/>
      <c r="S551" s="11"/>
      <c r="T551" s="11"/>
      <c r="U551" s="15"/>
      <c r="V551" s="11"/>
      <c r="W551" s="11"/>
      <c r="X551" s="11"/>
      <c r="Y551" s="11"/>
      <c r="Z551" s="11"/>
    </row>
    <row r="552">
      <c r="A552" s="18"/>
      <c r="B552" s="11"/>
      <c r="C552" s="11"/>
      <c r="D552" s="11"/>
      <c r="E552" s="11"/>
      <c r="F552" s="11"/>
      <c r="G552" s="11"/>
      <c r="H552" s="11"/>
      <c r="I552" s="11"/>
      <c r="J552" s="11"/>
      <c r="K552" s="11"/>
      <c r="L552" s="15"/>
      <c r="M552" s="15"/>
      <c r="N552" s="15"/>
      <c r="O552" s="15"/>
      <c r="P552" s="15"/>
      <c r="Q552" s="11"/>
      <c r="R552" s="11"/>
      <c r="S552" s="11"/>
      <c r="T552" s="11"/>
      <c r="U552" s="15"/>
      <c r="V552" s="11"/>
      <c r="W552" s="11"/>
      <c r="X552" s="11"/>
      <c r="Y552" s="11"/>
      <c r="Z552" s="11"/>
    </row>
    <row r="553">
      <c r="A553" s="18"/>
      <c r="B553" s="11"/>
      <c r="C553" s="11"/>
      <c r="D553" s="11"/>
      <c r="E553" s="11"/>
      <c r="F553" s="11"/>
      <c r="G553" s="11"/>
      <c r="H553" s="11"/>
      <c r="I553" s="11"/>
      <c r="J553" s="11"/>
      <c r="K553" s="11"/>
      <c r="L553" s="15"/>
      <c r="M553" s="15"/>
      <c r="N553" s="15"/>
      <c r="O553" s="15"/>
      <c r="P553" s="15"/>
      <c r="Q553" s="11"/>
      <c r="R553" s="11"/>
      <c r="S553" s="11"/>
      <c r="T553" s="11"/>
      <c r="U553" s="15"/>
      <c r="V553" s="11"/>
      <c r="W553" s="11"/>
      <c r="X553" s="11"/>
      <c r="Y553" s="11"/>
      <c r="Z553" s="11"/>
    </row>
    <row r="554">
      <c r="A554" s="18"/>
      <c r="B554" s="11"/>
      <c r="C554" s="11"/>
      <c r="D554" s="11"/>
      <c r="E554" s="11"/>
      <c r="F554" s="11"/>
      <c r="G554" s="11"/>
      <c r="H554" s="11"/>
      <c r="I554" s="11"/>
      <c r="J554" s="11"/>
      <c r="K554" s="11"/>
      <c r="L554" s="15"/>
      <c r="M554" s="15"/>
      <c r="N554" s="15"/>
      <c r="O554" s="15"/>
      <c r="P554" s="15"/>
      <c r="Q554" s="11"/>
      <c r="R554" s="11"/>
      <c r="S554" s="11"/>
      <c r="T554" s="11"/>
      <c r="U554" s="15"/>
      <c r="V554" s="11"/>
      <c r="W554" s="11"/>
      <c r="X554" s="11"/>
      <c r="Y554" s="11"/>
      <c r="Z554" s="11"/>
    </row>
    <row r="555">
      <c r="A555" s="18"/>
      <c r="B555" s="11"/>
      <c r="C555" s="11"/>
      <c r="D555" s="11"/>
      <c r="E555" s="11"/>
      <c r="F555" s="11"/>
      <c r="G555" s="11"/>
      <c r="H555" s="11"/>
      <c r="I555" s="11"/>
      <c r="J555" s="11"/>
      <c r="K555" s="11"/>
      <c r="L555" s="15"/>
      <c r="M555" s="15"/>
      <c r="N555" s="15"/>
      <c r="O555" s="15"/>
      <c r="P555" s="15"/>
      <c r="Q555" s="11"/>
      <c r="R555" s="11"/>
      <c r="S555" s="11"/>
      <c r="T555" s="11"/>
      <c r="U555" s="15"/>
      <c r="V555" s="11"/>
      <c r="W555" s="11"/>
      <c r="X555" s="11"/>
      <c r="Y555" s="11"/>
      <c r="Z555" s="11"/>
    </row>
    <row r="556">
      <c r="A556" s="18"/>
      <c r="B556" s="11"/>
      <c r="C556" s="11"/>
      <c r="D556" s="11"/>
      <c r="E556" s="11"/>
      <c r="F556" s="11"/>
      <c r="G556" s="11"/>
      <c r="H556" s="11"/>
      <c r="I556" s="11"/>
      <c r="J556" s="11"/>
      <c r="K556" s="11"/>
      <c r="L556" s="15"/>
      <c r="M556" s="15"/>
      <c r="N556" s="15"/>
      <c r="O556" s="15"/>
      <c r="P556" s="15"/>
      <c r="Q556" s="11"/>
      <c r="R556" s="11"/>
      <c r="S556" s="11"/>
      <c r="T556" s="11"/>
      <c r="U556" s="15"/>
      <c r="V556" s="11"/>
      <c r="W556" s="11"/>
      <c r="X556" s="11"/>
      <c r="Y556" s="11"/>
      <c r="Z556" s="11"/>
    </row>
    <row r="557">
      <c r="A557" s="18"/>
      <c r="B557" s="11"/>
      <c r="C557" s="11"/>
      <c r="D557" s="11"/>
      <c r="E557" s="11"/>
      <c r="F557" s="11"/>
      <c r="G557" s="11"/>
      <c r="H557" s="11"/>
      <c r="I557" s="11"/>
      <c r="J557" s="11"/>
      <c r="K557" s="11"/>
      <c r="L557" s="15"/>
      <c r="M557" s="15"/>
      <c r="N557" s="15"/>
      <c r="O557" s="15"/>
      <c r="P557" s="15"/>
      <c r="Q557" s="11"/>
      <c r="R557" s="11"/>
      <c r="S557" s="11"/>
      <c r="T557" s="11"/>
      <c r="U557" s="15"/>
      <c r="V557" s="11"/>
      <c r="W557" s="11"/>
      <c r="X557" s="11"/>
      <c r="Y557" s="11"/>
      <c r="Z557" s="11"/>
    </row>
    <row r="558">
      <c r="A558" s="18"/>
      <c r="B558" s="11"/>
      <c r="C558" s="11"/>
      <c r="D558" s="11"/>
      <c r="E558" s="11"/>
      <c r="F558" s="11"/>
      <c r="G558" s="11"/>
      <c r="H558" s="11"/>
      <c r="I558" s="11"/>
      <c r="J558" s="11"/>
      <c r="K558" s="11"/>
      <c r="L558" s="15"/>
      <c r="M558" s="15"/>
      <c r="N558" s="15"/>
      <c r="O558" s="15"/>
      <c r="P558" s="15"/>
      <c r="Q558" s="11"/>
      <c r="R558" s="11"/>
      <c r="S558" s="11"/>
      <c r="T558" s="11"/>
      <c r="U558" s="15"/>
      <c r="V558" s="11"/>
      <c r="W558" s="11"/>
      <c r="X558" s="11"/>
      <c r="Y558" s="11"/>
      <c r="Z558" s="11"/>
    </row>
    <row r="559">
      <c r="A559" s="18"/>
      <c r="B559" s="11"/>
      <c r="C559" s="11"/>
      <c r="D559" s="11"/>
      <c r="E559" s="11"/>
      <c r="F559" s="11"/>
      <c r="G559" s="11"/>
      <c r="H559" s="11"/>
      <c r="I559" s="11"/>
      <c r="J559" s="11"/>
      <c r="K559" s="11"/>
      <c r="L559" s="15"/>
      <c r="M559" s="15"/>
      <c r="N559" s="15"/>
      <c r="O559" s="15"/>
      <c r="P559" s="15"/>
      <c r="Q559" s="11"/>
      <c r="R559" s="11"/>
      <c r="S559" s="11"/>
      <c r="T559" s="11"/>
      <c r="U559" s="15"/>
      <c r="V559" s="11"/>
      <c r="W559" s="11"/>
      <c r="X559" s="11"/>
      <c r="Y559" s="11"/>
      <c r="Z559" s="11"/>
    </row>
    <row r="560">
      <c r="A560" s="18"/>
      <c r="B560" s="11"/>
      <c r="C560" s="11"/>
      <c r="D560" s="11"/>
      <c r="E560" s="11"/>
      <c r="F560" s="11"/>
      <c r="G560" s="11"/>
      <c r="H560" s="11"/>
      <c r="I560" s="11"/>
      <c r="J560" s="11"/>
      <c r="K560" s="11"/>
      <c r="L560" s="15"/>
      <c r="M560" s="15"/>
      <c r="N560" s="15"/>
      <c r="O560" s="15"/>
      <c r="P560" s="15"/>
      <c r="Q560" s="11"/>
      <c r="R560" s="11"/>
      <c r="S560" s="11"/>
      <c r="T560" s="11"/>
      <c r="U560" s="15"/>
      <c r="V560" s="11"/>
      <c r="W560" s="11"/>
      <c r="X560" s="11"/>
      <c r="Y560" s="11"/>
      <c r="Z560" s="11"/>
    </row>
    <row r="561">
      <c r="A561" s="18"/>
      <c r="B561" s="11"/>
      <c r="C561" s="11"/>
      <c r="D561" s="11"/>
      <c r="E561" s="11"/>
      <c r="F561" s="11"/>
      <c r="G561" s="11"/>
      <c r="H561" s="11"/>
      <c r="I561" s="11"/>
      <c r="J561" s="11"/>
      <c r="K561" s="11"/>
      <c r="L561" s="15"/>
      <c r="M561" s="15"/>
      <c r="N561" s="15"/>
      <c r="O561" s="15"/>
      <c r="P561" s="15"/>
      <c r="Q561" s="11"/>
      <c r="R561" s="11"/>
      <c r="S561" s="11"/>
      <c r="T561" s="11"/>
      <c r="U561" s="15"/>
      <c r="V561" s="11"/>
      <c r="W561" s="11"/>
      <c r="X561" s="11"/>
      <c r="Y561" s="11"/>
      <c r="Z561" s="11"/>
    </row>
    <row r="562">
      <c r="A562" s="18"/>
      <c r="B562" s="11"/>
      <c r="C562" s="11"/>
      <c r="D562" s="11"/>
      <c r="E562" s="11"/>
      <c r="F562" s="11"/>
      <c r="G562" s="11"/>
      <c r="H562" s="11"/>
      <c r="I562" s="11"/>
      <c r="J562" s="11"/>
      <c r="K562" s="11"/>
      <c r="L562" s="15"/>
      <c r="M562" s="15"/>
      <c r="N562" s="15"/>
      <c r="O562" s="15"/>
      <c r="P562" s="15"/>
      <c r="Q562" s="11"/>
      <c r="R562" s="11"/>
      <c r="S562" s="11"/>
      <c r="T562" s="11"/>
      <c r="U562" s="15"/>
      <c r="V562" s="11"/>
      <c r="W562" s="11"/>
      <c r="X562" s="11"/>
      <c r="Y562" s="11"/>
      <c r="Z562" s="11"/>
    </row>
    <row r="563">
      <c r="A563" s="18"/>
      <c r="B563" s="11"/>
      <c r="C563" s="11"/>
      <c r="D563" s="11"/>
      <c r="E563" s="11"/>
      <c r="F563" s="11"/>
      <c r="G563" s="11"/>
      <c r="H563" s="11"/>
      <c r="I563" s="11"/>
      <c r="J563" s="11"/>
      <c r="K563" s="11"/>
      <c r="L563" s="15"/>
      <c r="M563" s="15"/>
      <c r="N563" s="15"/>
      <c r="O563" s="15"/>
      <c r="P563" s="15"/>
      <c r="Q563" s="11"/>
      <c r="R563" s="11"/>
      <c r="S563" s="11"/>
      <c r="T563" s="11"/>
      <c r="U563" s="15"/>
      <c r="V563" s="11"/>
      <c r="W563" s="11"/>
      <c r="X563" s="11"/>
      <c r="Y563" s="11"/>
      <c r="Z563" s="11"/>
    </row>
    <row r="564">
      <c r="A564" s="18"/>
      <c r="B564" s="11"/>
      <c r="C564" s="11"/>
      <c r="D564" s="11"/>
      <c r="E564" s="11"/>
      <c r="F564" s="11"/>
      <c r="G564" s="11"/>
      <c r="H564" s="11"/>
      <c r="I564" s="11"/>
      <c r="J564" s="11"/>
      <c r="K564" s="11"/>
      <c r="L564" s="15"/>
      <c r="M564" s="15"/>
      <c r="N564" s="15"/>
      <c r="O564" s="15"/>
      <c r="P564" s="15"/>
      <c r="Q564" s="11"/>
      <c r="R564" s="11"/>
      <c r="S564" s="11"/>
      <c r="T564" s="11"/>
      <c r="U564" s="15"/>
      <c r="V564" s="11"/>
      <c r="W564" s="11"/>
      <c r="X564" s="11"/>
      <c r="Y564" s="11"/>
      <c r="Z564" s="11"/>
    </row>
    <row r="565">
      <c r="A565" s="18"/>
      <c r="B565" s="11"/>
      <c r="C565" s="11"/>
      <c r="D565" s="11"/>
      <c r="E565" s="11"/>
      <c r="F565" s="11"/>
      <c r="G565" s="11"/>
      <c r="H565" s="11"/>
      <c r="I565" s="11"/>
      <c r="J565" s="11"/>
      <c r="K565" s="11"/>
      <c r="L565" s="15"/>
      <c r="M565" s="15"/>
      <c r="N565" s="15"/>
      <c r="O565" s="15"/>
      <c r="P565" s="15"/>
      <c r="Q565" s="11"/>
      <c r="R565" s="11"/>
      <c r="S565" s="11"/>
      <c r="T565" s="11"/>
      <c r="U565" s="15"/>
      <c r="V565" s="11"/>
      <c r="W565" s="11"/>
      <c r="X565" s="11"/>
      <c r="Y565" s="11"/>
      <c r="Z565" s="11"/>
    </row>
    <row r="566">
      <c r="A566" s="18"/>
      <c r="B566" s="11"/>
      <c r="C566" s="11"/>
      <c r="D566" s="11"/>
      <c r="E566" s="11"/>
      <c r="F566" s="11"/>
      <c r="G566" s="11"/>
      <c r="H566" s="11"/>
      <c r="I566" s="11"/>
      <c r="J566" s="11"/>
      <c r="K566" s="11"/>
      <c r="L566" s="15"/>
      <c r="M566" s="15"/>
      <c r="N566" s="15"/>
      <c r="O566" s="15"/>
      <c r="P566" s="15"/>
      <c r="Q566" s="11"/>
      <c r="R566" s="11"/>
      <c r="S566" s="11"/>
      <c r="T566" s="11"/>
      <c r="U566" s="15"/>
      <c r="V566" s="11"/>
      <c r="W566" s="11"/>
      <c r="X566" s="11"/>
      <c r="Y566" s="11"/>
      <c r="Z566" s="11"/>
    </row>
    <row r="567">
      <c r="A567" s="18"/>
      <c r="B567" s="11"/>
      <c r="C567" s="11"/>
      <c r="D567" s="11"/>
      <c r="E567" s="11"/>
      <c r="F567" s="11"/>
      <c r="G567" s="11"/>
      <c r="H567" s="11"/>
      <c r="I567" s="11"/>
      <c r="J567" s="11"/>
      <c r="K567" s="11"/>
      <c r="L567" s="15"/>
      <c r="M567" s="15"/>
      <c r="N567" s="15"/>
      <c r="O567" s="15"/>
      <c r="P567" s="15"/>
      <c r="Q567" s="11"/>
      <c r="R567" s="11"/>
      <c r="S567" s="11"/>
      <c r="T567" s="11"/>
      <c r="U567" s="15"/>
      <c r="V567" s="11"/>
      <c r="W567" s="11"/>
      <c r="X567" s="11"/>
      <c r="Y567" s="11"/>
      <c r="Z567" s="11"/>
    </row>
    <row r="568">
      <c r="A568" s="18"/>
      <c r="B568" s="11"/>
      <c r="C568" s="11"/>
      <c r="D568" s="11"/>
      <c r="E568" s="11"/>
      <c r="F568" s="11"/>
      <c r="G568" s="11"/>
      <c r="H568" s="11"/>
      <c r="I568" s="11"/>
      <c r="J568" s="11"/>
      <c r="K568" s="11"/>
      <c r="L568" s="15"/>
      <c r="M568" s="15"/>
      <c r="N568" s="15"/>
      <c r="O568" s="15"/>
      <c r="P568" s="15"/>
      <c r="Q568" s="11"/>
      <c r="R568" s="11"/>
      <c r="S568" s="11"/>
      <c r="T568" s="11"/>
      <c r="U568" s="15"/>
      <c r="V568" s="11"/>
      <c r="W568" s="11"/>
      <c r="X568" s="11"/>
      <c r="Y568" s="11"/>
      <c r="Z568" s="11"/>
    </row>
    <row r="569">
      <c r="A569" s="18"/>
      <c r="B569" s="11"/>
      <c r="C569" s="11"/>
      <c r="D569" s="11"/>
      <c r="E569" s="11"/>
      <c r="F569" s="11"/>
      <c r="G569" s="11"/>
      <c r="H569" s="11"/>
      <c r="I569" s="11"/>
      <c r="J569" s="11"/>
      <c r="K569" s="11"/>
      <c r="L569" s="15"/>
      <c r="M569" s="15"/>
      <c r="N569" s="15"/>
      <c r="O569" s="15"/>
      <c r="P569" s="15"/>
      <c r="Q569" s="11"/>
      <c r="R569" s="11"/>
      <c r="S569" s="11"/>
      <c r="T569" s="11"/>
      <c r="U569" s="15"/>
      <c r="V569" s="11"/>
      <c r="W569" s="11"/>
      <c r="X569" s="11"/>
      <c r="Y569" s="11"/>
      <c r="Z569" s="11"/>
    </row>
    <row r="570">
      <c r="A570" s="18"/>
      <c r="B570" s="11"/>
      <c r="C570" s="11"/>
      <c r="D570" s="11"/>
      <c r="E570" s="11"/>
      <c r="F570" s="11"/>
      <c r="G570" s="11"/>
      <c r="H570" s="11"/>
      <c r="I570" s="11"/>
      <c r="J570" s="11"/>
      <c r="K570" s="11"/>
      <c r="L570" s="15"/>
      <c r="M570" s="15"/>
      <c r="N570" s="15"/>
      <c r="O570" s="15"/>
      <c r="P570" s="15"/>
      <c r="Q570" s="11"/>
      <c r="R570" s="11"/>
      <c r="S570" s="11"/>
      <c r="T570" s="11"/>
      <c r="U570" s="15"/>
      <c r="V570" s="11"/>
      <c r="W570" s="11"/>
      <c r="X570" s="11"/>
      <c r="Y570" s="11"/>
      <c r="Z570" s="11"/>
    </row>
    <row r="571">
      <c r="A571" s="18"/>
      <c r="B571" s="11"/>
      <c r="C571" s="11"/>
      <c r="D571" s="11"/>
      <c r="E571" s="11"/>
      <c r="F571" s="11"/>
      <c r="G571" s="11"/>
      <c r="H571" s="11"/>
      <c r="I571" s="11"/>
      <c r="J571" s="11"/>
      <c r="K571" s="11"/>
      <c r="L571" s="15"/>
      <c r="M571" s="15"/>
      <c r="N571" s="15"/>
      <c r="O571" s="15"/>
      <c r="P571" s="15"/>
      <c r="Q571" s="11"/>
      <c r="R571" s="11"/>
      <c r="S571" s="11"/>
      <c r="T571" s="11"/>
      <c r="U571" s="15"/>
      <c r="V571" s="11"/>
      <c r="W571" s="11"/>
      <c r="X571" s="11"/>
      <c r="Y571" s="11"/>
      <c r="Z571" s="11"/>
    </row>
    <row r="572">
      <c r="A572" s="18"/>
      <c r="B572" s="11"/>
      <c r="C572" s="11"/>
      <c r="D572" s="11"/>
      <c r="E572" s="11"/>
      <c r="F572" s="11"/>
      <c r="G572" s="11"/>
      <c r="H572" s="11"/>
      <c r="I572" s="11"/>
      <c r="J572" s="11"/>
      <c r="K572" s="11"/>
      <c r="L572" s="15"/>
      <c r="M572" s="15"/>
      <c r="N572" s="15"/>
      <c r="O572" s="15"/>
      <c r="P572" s="15"/>
      <c r="Q572" s="11"/>
      <c r="R572" s="11"/>
      <c r="S572" s="11"/>
      <c r="T572" s="11"/>
      <c r="U572" s="15"/>
      <c r="V572" s="11"/>
      <c r="W572" s="11"/>
      <c r="X572" s="11"/>
      <c r="Y572" s="11"/>
      <c r="Z572" s="11"/>
    </row>
    <row r="573">
      <c r="A573" s="18"/>
      <c r="B573" s="11"/>
      <c r="C573" s="11"/>
      <c r="D573" s="11"/>
      <c r="E573" s="11"/>
      <c r="F573" s="11"/>
      <c r="G573" s="11"/>
      <c r="H573" s="11"/>
      <c r="I573" s="11"/>
      <c r="J573" s="11"/>
      <c r="K573" s="11"/>
      <c r="L573" s="15"/>
      <c r="M573" s="15"/>
      <c r="N573" s="15"/>
      <c r="O573" s="15"/>
      <c r="P573" s="15"/>
      <c r="Q573" s="11"/>
      <c r="R573" s="11"/>
      <c r="S573" s="11"/>
      <c r="T573" s="11"/>
      <c r="U573" s="15"/>
      <c r="V573" s="11"/>
      <c r="W573" s="11"/>
      <c r="X573" s="11"/>
      <c r="Y573" s="11"/>
      <c r="Z573" s="11"/>
    </row>
    <row r="574">
      <c r="A574" s="18"/>
      <c r="B574" s="11"/>
      <c r="C574" s="11"/>
      <c r="D574" s="11"/>
      <c r="E574" s="11"/>
      <c r="F574" s="11"/>
      <c r="G574" s="11"/>
      <c r="H574" s="11"/>
      <c r="I574" s="11"/>
      <c r="J574" s="11"/>
      <c r="K574" s="11"/>
      <c r="L574" s="15"/>
      <c r="M574" s="15"/>
      <c r="N574" s="15"/>
      <c r="O574" s="15"/>
      <c r="P574" s="15"/>
      <c r="Q574" s="11"/>
      <c r="R574" s="11"/>
      <c r="S574" s="11"/>
      <c r="T574" s="11"/>
      <c r="U574" s="15"/>
      <c r="V574" s="11"/>
      <c r="W574" s="11"/>
      <c r="X574" s="11"/>
      <c r="Y574" s="11"/>
      <c r="Z574" s="11"/>
    </row>
    <row r="575">
      <c r="A575" s="18"/>
      <c r="B575" s="11"/>
      <c r="C575" s="11"/>
      <c r="D575" s="11"/>
      <c r="E575" s="11"/>
      <c r="F575" s="11"/>
      <c r="G575" s="11"/>
      <c r="H575" s="11"/>
      <c r="I575" s="11"/>
      <c r="J575" s="11"/>
      <c r="K575" s="11"/>
      <c r="L575" s="15"/>
      <c r="M575" s="15"/>
      <c r="N575" s="15"/>
      <c r="O575" s="15"/>
      <c r="P575" s="15"/>
      <c r="Q575" s="11"/>
      <c r="R575" s="11"/>
      <c r="S575" s="11"/>
      <c r="T575" s="11"/>
      <c r="U575" s="15"/>
      <c r="V575" s="11"/>
      <c r="W575" s="11"/>
      <c r="X575" s="11"/>
      <c r="Y575" s="11"/>
      <c r="Z575" s="11"/>
    </row>
    <row r="576">
      <c r="A576" s="18"/>
      <c r="B576" s="11"/>
      <c r="C576" s="11"/>
      <c r="D576" s="11"/>
      <c r="E576" s="11"/>
      <c r="F576" s="11"/>
      <c r="G576" s="11"/>
      <c r="H576" s="11"/>
      <c r="I576" s="11"/>
      <c r="J576" s="11"/>
      <c r="K576" s="11"/>
      <c r="L576" s="15"/>
      <c r="M576" s="15"/>
      <c r="N576" s="15"/>
      <c r="O576" s="15"/>
      <c r="P576" s="15"/>
      <c r="Q576" s="11"/>
      <c r="R576" s="11"/>
      <c r="S576" s="11"/>
      <c r="T576" s="11"/>
      <c r="U576" s="15"/>
      <c r="V576" s="11"/>
      <c r="W576" s="11"/>
      <c r="X576" s="11"/>
      <c r="Y576" s="11"/>
      <c r="Z576" s="11"/>
    </row>
    <row r="577">
      <c r="A577" s="18"/>
      <c r="B577" s="11"/>
      <c r="C577" s="11"/>
      <c r="D577" s="11"/>
      <c r="E577" s="11"/>
      <c r="F577" s="11"/>
      <c r="G577" s="11"/>
      <c r="H577" s="11"/>
      <c r="I577" s="11"/>
      <c r="J577" s="11"/>
      <c r="K577" s="11"/>
      <c r="L577" s="15"/>
      <c r="M577" s="15"/>
      <c r="N577" s="15"/>
      <c r="O577" s="15"/>
      <c r="P577" s="15"/>
      <c r="Q577" s="11"/>
      <c r="R577" s="11"/>
      <c r="S577" s="11"/>
      <c r="T577" s="11"/>
      <c r="U577" s="15"/>
      <c r="V577" s="11"/>
      <c r="W577" s="11"/>
      <c r="X577" s="11"/>
      <c r="Y577" s="11"/>
      <c r="Z577" s="11"/>
    </row>
    <row r="578">
      <c r="A578" s="18"/>
      <c r="B578" s="11"/>
      <c r="C578" s="11"/>
      <c r="D578" s="11"/>
      <c r="E578" s="11"/>
      <c r="F578" s="11"/>
      <c r="G578" s="11"/>
      <c r="H578" s="11"/>
      <c r="I578" s="11"/>
      <c r="J578" s="11"/>
      <c r="K578" s="11"/>
      <c r="L578" s="15"/>
      <c r="M578" s="15"/>
      <c r="N578" s="15"/>
      <c r="O578" s="15"/>
      <c r="P578" s="15"/>
      <c r="Q578" s="11"/>
      <c r="R578" s="11"/>
      <c r="S578" s="11"/>
      <c r="T578" s="11"/>
      <c r="U578" s="15"/>
      <c r="V578" s="11"/>
      <c r="W578" s="11"/>
      <c r="X578" s="11"/>
      <c r="Y578" s="11"/>
      <c r="Z578" s="11"/>
    </row>
    <row r="579">
      <c r="A579" s="18"/>
      <c r="B579" s="11"/>
      <c r="C579" s="11"/>
      <c r="D579" s="11"/>
      <c r="E579" s="11"/>
      <c r="F579" s="11"/>
      <c r="G579" s="11"/>
      <c r="H579" s="11"/>
      <c r="I579" s="11"/>
      <c r="J579" s="11"/>
      <c r="K579" s="11"/>
      <c r="L579" s="15"/>
      <c r="M579" s="15"/>
      <c r="N579" s="15"/>
      <c r="O579" s="15"/>
      <c r="P579" s="15"/>
      <c r="Q579" s="11"/>
      <c r="R579" s="11"/>
      <c r="S579" s="11"/>
      <c r="T579" s="11"/>
      <c r="U579" s="15"/>
      <c r="V579" s="11"/>
      <c r="W579" s="11"/>
      <c r="X579" s="11"/>
      <c r="Y579" s="11"/>
      <c r="Z579" s="11"/>
    </row>
    <row r="580">
      <c r="A580" s="18"/>
      <c r="B580" s="11"/>
      <c r="C580" s="11"/>
      <c r="D580" s="11"/>
      <c r="E580" s="11"/>
      <c r="F580" s="11"/>
      <c r="G580" s="11"/>
      <c r="H580" s="11"/>
      <c r="I580" s="11"/>
      <c r="J580" s="11"/>
      <c r="K580" s="11"/>
      <c r="L580" s="15"/>
      <c r="M580" s="15"/>
      <c r="N580" s="15"/>
      <c r="O580" s="15"/>
      <c r="P580" s="15"/>
      <c r="Q580" s="11"/>
      <c r="R580" s="11"/>
      <c r="S580" s="11"/>
      <c r="T580" s="11"/>
      <c r="U580" s="15"/>
      <c r="V580" s="11"/>
      <c r="W580" s="11"/>
      <c r="X580" s="11"/>
      <c r="Y580" s="11"/>
      <c r="Z580" s="11"/>
    </row>
    <row r="581">
      <c r="A581" s="18"/>
      <c r="B581" s="11"/>
      <c r="C581" s="11"/>
      <c r="D581" s="11"/>
      <c r="E581" s="11"/>
      <c r="F581" s="11"/>
      <c r="G581" s="11"/>
      <c r="H581" s="11"/>
      <c r="I581" s="11"/>
      <c r="J581" s="11"/>
      <c r="K581" s="11"/>
      <c r="L581" s="15"/>
      <c r="M581" s="15"/>
      <c r="N581" s="15"/>
      <c r="O581" s="15"/>
      <c r="P581" s="15"/>
      <c r="Q581" s="11"/>
      <c r="R581" s="11"/>
      <c r="S581" s="11"/>
      <c r="T581" s="11"/>
      <c r="U581" s="15"/>
      <c r="V581" s="11"/>
      <c r="W581" s="11"/>
      <c r="X581" s="11"/>
      <c r="Y581" s="11"/>
      <c r="Z581" s="11"/>
    </row>
    <row r="582">
      <c r="A582" s="18"/>
      <c r="B582" s="11"/>
      <c r="C582" s="11"/>
      <c r="D582" s="11"/>
      <c r="E582" s="11"/>
      <c r="F582" s="11"/>
      <c r="G582" s="11"/>
      <c r="H582" s="11"/>
      <c r="I582" s="11"/>
      <c r="J582" s="11"/>
      <c r="K582" s="11"/>
      <c r="L582" s="15"/>
      <c r="M582" s="15"/>
      <c r="N582" s="15"/>
      <c r="O582" s="15"/>
      <c r="P582" s="15"/>
      <c r="Q582" s="11"/>
      <c r="R582" s="11"/>
      <c r="S582" s="11"/>
      <c r="T582" s="11"/>
      <c r="U582" s="15"/>
      <c r="V582" s="11"/>
      <c r="W582" s="11"/>
      <c r="X582" s="11"/>
      <c r="Y582" s="11"/>
      <c r="Z582" s="11"/>
    </row>
    <row r="583">
      <c r="A583" s="18"/>
      <c r="B583" s="11"/>
      <c r="C583" s="11"/>
      <c r="D583" s="11"/>
      <c r="E583" s="11"/>
      <c r="F583" s="11"/>
      <c r="G583" s="11"/>
      <c r="H583" s="11"/>
      <c r="I583" s="11"/>
      <c r="J583" s="11"/>
      <c r="K583" s="11"/>
      <c r="L583" s="15"/>
      <c r="M583" s="15"/>
      <c r="N583" s="15"/>
      <c r="O583" s="15"/>
      <c r="P583" s="15"/>
      <c r="Q583" s="11"/>
      <c r="R583" s="11"/>
      <c r="S583" s="11"/>
      <c r="T583" s="11"/>
      <c r="U583" s="15"/>
      <c r="V583" s="11"/>
      <c r="W583" s="11"/>
      <c r="X583" s="11"/>
      <c r="Y583" s="11"/>
      <c r="Z583" s="11"/>
    </row>
    <row r="584">
      <c r="A584" s="18"/>
      <c r="B584" s="11"/>
      <c r="C584" s="11"/>
      <c r="D584" s="11"/>
      <c r="E584" s="11"/>
      <c r="F584" s="11"/>
      <c r="G584" s="11"/>
      <c r="H584" s="11"/>
      <c r="I584" s="11"/>
      <c r="J584" s="11"/>
      <c r="K584" s="11"/>
      <c r="L584" s="15"/>
      <c r="M584" s="15"/>
      <c r="N584" s="15"/>
      <c r="O584" s="15"/>
      <c r="P584" s="15"/>
      <c r="Q584" s="11"/>
      <c r="R584" s="11"/>
      <c r="S584" s="11"/>
      <c r="T584" s="11"/>
      <c r="U584" s="15"/>
      <c r="V584" s="11"/>
      <c r="W584" s="11"/>
      <c r="X584" s="11"/>
      <c r="Y584" s="11"/>
      <c r="Z584" s="11"/>
    </row>
    <row r="585">
      <c r="A585" s="18"/>
      <c r="B585" s="11"/>
      <c r="C585" s="11"/>
      <c r="D585" s="11"/>
      <c r="E585" s="11"/>
      <c r="F585" s="11"/>
      <c r="G585" s="11"/>
      <c r="H585" s="11"/>
      <c r="I585" s="11"/>
      <c r="J585" s="11"/>
      <c r="K585" s="11"/>
      <c r="L585" s="15"/>
      <c r="M585" s="15"/>
      <c r="N585" s="15"/>
      <c r="O585" s="15"/>
      <c r="P585" s="15"/>
      <c r="Q585" s="11"/>
      <c r="R585" s="11"/>
      <c r="S585" s="11"/>
      <c r="T585" s="11"/>
      <c r="U585" s="15"/>
      <c r="V585" s="11"/>
      <c r="W585" s="11"/>
      <c r="X585" s="11"/>
      <c r="Y585" s="11"/>
      <c r="Z585" s="11"/>
    </row>
    <row r="586">
      <c r="A586" s="18"/>
      <c r="B586" s="11"/>
      <c r="C586" s="11"/>
      <c r="D586" s="11"/>
      <c r="E586" s="11"/>
      <c r="F586" s="11"/>
      <c r="G586" s="11"/>
      <c r="H586" s="11"/>
      <c r="I586" s="11"/>
      <c r="J586" s="11"/>
      <c r="K586" s="11"/>
      <c r="L586" s="15"/>
      <c r="M586" s="15"/>
      <c r="N586" s="15"/>
      <c r="O586" s="15"/>
      <c r="P586" s="15"/>
      <c r="Q586" s="11"/>
      <c r="R586" s="11"/>
      <c r="S586" s="11"/>
      <c r="T586" s="11"/>
      <c r="U586" s="15"/>
      <c r="V586" s="11"/>
      <c r="W586" s="11"/>
      <c r="X586" s="11"/>
      <c r="Y586" s="11"/>
      <c r="Z586" s="11"/>
    </row>
    <row r="587">
      <c r="A587" s="18"/>
      <c r="B587" s="11"/>
      <c r="C587" s="11"/>
      <c r="D587" s="11"/>
      <c r="E587" s="11"/>
      <c r="F587" s="11"/>
      <c r="G587" s="11"/>
      <c r="H587" s="11"/>
      <c r="I587" s="11"/>
      <c r="J587" s="11"/>
      <c r="K587" s="11"/>
      <c r="L587" s="15"/>
      <c r="M587" s="15"/>
      <c r="N587" s="15"/>
      <c r="O587" s="15"/>
      <c r="P587" s="15"/>
      <c r="Q587" s="11"/>
      <c r="R587" s="11"/>
      <c r="S587" s="11"/>
      <c r="T587" s="11"/>
      <c r="U587" s="15"/>
      <c r="V587" s="11"/>
      <c r="W587" s="11"/>
      <c r="X587" s="11"/>
      <c r="Y587" s="11"/>
      <c r="Z587" s="11"/>
    </row>
    <row r="588">
      <c r="A588" s="18"/>
      <c r="B588" s="11"/>
      <c r="C588" s="11"/>
      <c r="D588" s="11"/>
      <c r="E588" s="11"/>
      <c r="F588" s="11"/>
      <c r="G588" s="11"/>
      <c r="H588" s="11"/>
      <c r="I588" s="11"/>
      <c r="J588" s="11"/>
      <c r="K588" s="11"/>
      <c r="L588" s="15"/>
      <c r="M588" s="15"/>
      <c r="N588" s="15"/>
      <c r="O588" s="15"/>
      <c r="P588" s="15"/>
      <c r="Q588" s="11"/>
      <c r="R588" s="11"/>
      <c r="S588" s="11"/>
      <c r="T588" s="11"/>
      <c r="U588" s="15"/>
      <c r="V588" s="11"/>
      <c r="W588" s="11"/>
      <c r="X588" s="11"/>
      <c r="Y588" s="11"/>
      <c r="Z588" s="11"/>
    </row>
    <row r="589">
      <c r="A589" s="18"/>
      <c r="B589" s="11"/>
      <c r="C589" s="11"/>
      <c r="D589" s="11"/>
      <c r="E589" s="11"/>
      <c r="F589" s="11"/>
      <c r="G589" s="11"/>
      <c r="H589" s="11"/>
      <c r="I589" s="11"/>
      <c r="J589" s="11"/>
      <c r="K589" s="11"/>
      <c r="L589" s="15"/>
      <c r="M589" s="15"/>
      <c r="N589" s="15"/>
      <c r="O589" s="15"/>
      <c r="P589" s="15"/>
      <c r="Q589" s="11"/>
      <c r="R589" s="11"/>
      <c r="S589" s="11"/>
      <c r="T589" s="11"/>
      <c r="U589" s="15"/>
      <c r="V589" s="11"/>
      <c r="W589" s="11"/>
      <c r="X589" s="11"/>
      <c r="Y589" s="11"/>
      <c r="Z589" s="11"/>
    </row>
    <row r="590">
      <c r="A590" s="18"/>
      <c r="B590" s="11"/>
      <c r="C590" s="11"/>
      <c r="D590" s="11"/>
      <c r="E590" s="11"/>
      <c r="F590" s="11"/>
      <c r="G590" s="11"/>
      <c r="H590" s="11"/>
      <c r="I590" s="11"/>
      <c r="J590" s="11"/>
      <c r="K590" s="11"/>
      <c r="L590" s="15"/>
      <c r="M590" s="15"/>
      <c r="N590" s="15"/>
      <c r="O590" s="15"/>
      <c r="P590" s="15"/>
      <c r="Q590" s="11"/>
      <c r="R590" s="11"/>
      <c r="S590" s="11"/>
      <c r="T590" s="11"/>
      <c r="U590" s="15"/>
      <c r="V590" s="11"/>
      <c r="W590" s="11"/>
      <c r="X590" s="11"/>
      <c r="Y590" s="11"/>
      <c r="Z590" s="11"/>
    </row>
    <row r="591">
      <c r="A591" s="18"/>
      <c r="B591" s="11"/>
      <c r="C591" s="11"/>
      <c r="D591" s="11"/>
      <c r="E591" s="11"/>
      <c r="F591" s="11"/>
      <c r="G591" s="11"/>
      <c r="H591" s="11"/>
      <c r="I591" s="11"/>
      <c r="J591" s="11"/>
      <c r="K591" s="11"/>
      <c r="L591" s="15"/>
      <c r="M591" s="15"/>
      <c r="N591" s="15"/>
      <c r="O591" s="15"/>
      <c r="P591" s="15"/>
      <c r="Q591" s="11"/>
      <c r="R591" s="11"/>
      <c r="S591" s="11"/>
      <c r="T591" s="11"/>
      <c r="U591" s="15"/>
      <c r="V591" s="11"/>
      <c r="W591" s="11"/>
      <c r="X591" s="11"/>
      <c r="Y591" s="11"/>
      <c r="Z591" s="11"/>
    </row>
    <row r="592">
      <c r="A592" s="18"/>
      <c r="B592" s="11"/>
      <c r="C592" s="11"/>
      <c r="D592" s="11"/>
      <c r="E592" s="11"/>
      <c r="F592" s="11"/>
      <c r="G592" s="11"/>
      <c r="H592" s="11"/>
      <c r="I592" s="11"/>
      <c r="J592" s="11"/>
      <c r="K592" s="11"/>
      <c r="L592" s="15"/>
      <c r="M592" s="15"/>
      <c r="N592" s="15"/>
      <c r="O592" s="15"/>
      <c r="P592" s="15"/>
      <c r="Q592" s="11"/>
      <c r="R592" s="11"/>
      <c r="S592" s="11"/>
      <c r="T592" s="11"/>
      <c r="U592" s="15"/>
      <c r="V592" s="11"/>
      <c r="W592" s="11"/>
      <c r="X592" s="11"/>
      <c r="Y592" s="11"/>
      <c r="Z592" s="11"/>
    </row>
    <row r="593">
      <c r="A593" s="18"/>
      <c r="B593" s="11"/>
      <c r="C593" s="11"/>
      <c r="D593" s="11"/>
      <c r="E593" s="11"/>
      <c r="F593" s="11"/>
      <c r="G593" s="11"/>
      <c r="H593" s="11"/>
      <c r="I593" s="11"/>
      <c r="J593" s="11"/>
      <c r="K593" s="11"/>
      <c r="L593" s="15"/>
      <c r="M593" s="15"/>
      <c r="N593" s="15"/>
      <c r="O593" s="15"/>
      <c r="P593" s="15"/>
      <c r="Q593" s="11"/>
      <c r="R593" s="11"/>
      <c r="S593" s="11"/>
      <c r="T593" s="11"/>
      <c r="U593" s="15"/>
      <c r="V593" s="11"/>
      <c r="W593" s="11"/>
      <c r="X593" s="11"/>
      <c r="Y593" s="11"/>
      <c r="Z593" s="11"/>
    </row>
    <row r="594">
      <c r="A594" s="18"/>
      <c r="B594" s="11"/>
      <c r="C594" s="11"/>
      <c r="D594" s="11"/>
      <c r="E594" s="11"/>
      <c r="F594" s="11"/>
      <c r="G594" s="11"/>
      <c r="H594" s="11"/>
      <c r="I594" s="11"/>
      <c r="J594" s="11"/>
      <c r="K594" s="11"/>
      <c r="L594" s="15"/>
      <c r="M594" s="15"/>
      <c r="N594" s="15"/>
      <c r="O594" s="15"/>
      <c r="P594" s="15"/>
      <c r="Q594" s="11"/>
      <c r="R594" s="11"/>
      <c r="S594" s="11"/>
      <c r="T594" s="11"/>
      <c r="U594" s="15"/>
      <c r="V594" s="11"/>
      <c r="W594" s="11"/>
      <c r="X594" s="11"/>
      <c r="Y594" s="11"/>
      <c r="Z594" s="11"/>
    </row>
    <row r="595">
      <c r="A595" s="18"/>
      <c r="B595" s="11"/>
      <c r="C595" s="11"/>
      <c r="D595" s="11"/>
      <c r="E595" s="11"/>
      <c r="F595" s="11"/>
      <c r="G595" s="11"/>
      <c r="H595" s="11"/>
      <c r="I595" s="11"/>
      <c r="J595" s="11"/>
      <c r="K595" s="11"/>
      <c r="L595" s="15"/>
      <c r="M595" s="15"/>
      <c r="N595" s="15"/>
      <c r="O595" s="15"/>
      <c r="P595" s="15"/>
      <c r="Q595" s="11"/>
      <c r="R595" s="11"/>
      <c r="S595" s="11"/>
      <c r="T595" s="11"/>
      <c r="U595" s="15"/>
      <c r="V595" s="11"/>
      <c r="W595" s="11"/>
      <c r="X595" s="11"/>
      <c r="Y595" s="11"/>
      <c r="Z595" s="11"/>
    </row>
    <row r="596">
      <c r="A596" s="18"/>
      <c r="B596" s="11"/>
      <c r="C596" s="11"/>
      <c r="D596" s="11"/>
      <c r="E596" s="11"/>
      <c r="F596" s="11"/>
      <c r="G596" s="11"/>
      <c r="H596" s="11"/>
      <c r="I596" s="11"/>
      <c r="J596" s="11"/>
      <c r="K596" s="11"/>
      <c r="L596" s="15"/>
      <c r="M596" s="15"/>
      <c r="N596" s="15"/>
      <c r="O596" s="15"/>
      <c r="P596" s="15"/>
      <c r="Q596" s="11"/>
      <c r="R596" s="11"/>
      <c r="S596" s="11"/>
      <c r="T596" s="11"/>
      <c r="U596" s="15"/>
      <c r="V596" s="11"/>
      <c r="W596" s="11"/>
      <c r="X596" s="11"/>
      <c r="Y596" s="11"/>
      <c r="Z596" s="11"/>
    </row>
    <row r="597">
      <c r="A597" s="18"/>
      <c r="B597" s="11"/>
      <c r="C597" s="11"/>
      <c r="D597" s="11"/>
      <c r="E597" s="11"/>
      <c r="F597" s="11"/>
      <c r="G597" s="11"/>
      <c r="H597" s="11"/>
      <c r="I597" s="11"/>
      <c r="J597" s="11"/>
      <c r="K597" s="11"/>
      <c r="L597" s="15"/>
      <c r="M597" s="15"/>
      <c r="N597" s="15"/>
      <c r="O597" s="15"/>
      <c r="P597" s="15"/>
      <c r="Q597" s="11"/>
      <c r="R597" s="11"/>
      <c r="S597" s="11"/>
      <c r="T597" s="11"/>
      <c r="U597" s="15"/>
      <c r="V597" s="11"/>
      <c r="W597" s="11"/>
      <c r="X597" s="11"/>
      <c r="Y597" s="11"/>
      <c r="Z597" s="11"/>
    </row>
    <row r="598">
      <c r="A598" s="18"/>
      <c r="B598" s="11"/>
      <c r="C598" s="11"/>
      <c r="D598" s="11"/>
      <c r="E598" s="11"/>
      <c r="F598" s="11"/>
      <c r="G598" s="11"/>
      <c r="H598" s="11"/>
      <c r="I598" s="11"/>
      <c r="J598" s="11"/>
      <c r="K598" s="11"/>
      <c r="L598" s="15"/>
      <c r="M598" s="15"/>
      <c r="N598" s="15"/>
      <c r="O598" s="15"/>
      <c r="P598" s="15"/>
      <c r="Q598" s="11"/>
      <c r="R598" s="11"/>
      <c r="S598" s="11"/>
      <c r="T598" s="11"/>
      <c r="U598" s="15"/>
      <c r="V598" s="11"/>
      <c r="W598" s="11"/>
      <c r="X598" s="11"/>
      <c r="Y598" s="11"/>
      <c r="Z598" s="11"/>
    </row>
    <row r="599">
      <c r="A599" s="18"/>
      <c r="B599" s="11"/>
      <c r="C599" s="11"/>
      <c r="D599" s="11"/>
      <c r="E599" s="11"/>
      <c r="F599" s="11"/>
      <c r="G599" s="11"/>
      <c r="H599" s="11"/>
      <c r="I599" s="11"/>
      <c r="J599" s="11"/>
      <c r="K599" s="11"/>
      <c r="L599" s="15"/>
      <c r="M599" s="15"/>
      <c r="N599" s="15"/>
      <c r="O599" s="15"/>
      <c r="P599" s="15"/>
      <c r="Q599" s="11"/>
      <c r="R599" s="11"/>
      <c r="S599" s="11"/>
      <c r="T599" s="11"/>
      <c r="U599" s="15"/>
      <c r="V599" s="11"/>
      <c r="W599" s="11"/>
      <c r="X599" s="11"/>
      <c r="Y599" s="11"/>
      <c r="Z599" s="11"/>
    </row>
    <row r="600">
      <c r="A600" s="18"/>
      <c r="B600" s="11"/>
      <c r="C600" s="11"/>
      <c r="D600" s="11"/>
      <c r="E600" s="11"/>
      <c r="F600" s="11"/>
      <c r="G600" s="11"/>
      <c r="H600" s="11"/>
      <c r="I600" s="11"/>
      <c r="J600" s="11"/>
      <c r="K600" s="11"/>
      <c r="L600" s="15"/>
      <c r="M600" s="15"/>
      <c r="N600" s="15"/>
      <c r="O600" s="15"/>
      <c r="P600" s="15"/>
      <c r="Q600" s="11"/>
      <c r="R600" s="11"/>
      <c r="S600" s="11"/>
      <c r="T600" s="11"/>
      <c r="U600" s="15"/>
      <c r="V600" s="11"/>
      <c r="W600" s="11"/>
      <c r="X600" s="11"/>
      <c r="Y600" s="11"/>
      <c r="Z600" s="11"/>
    </row>
    <row r="601">
      <c r="A601" s="18"/>
      <c r="B601" s="11"/>
      <c r="C601" s="11"/>
      <c r="D601" s="11"/>
      <c r="E601" s="11"/>
      <c r="F601" s="11"/>
      <c r="G601" s="11"/>
      <c r="H601" s="11"/>
      <c r="I601" s="11"/>
      <c r="J601" s="11"/>
      <c r="K601" s="11"/>
      <c r="L601" s="15"/>
      <c r="M601" s="15"/>
      <c r="N601" s="15"/>
      <c r="O601" s="15"/>
      <c r="P601" s="15"/>
      <c r="Q601" s="11"/>
      <c r="R601" s="11"/>
      <c r="S601" s="11"/>
      <c r="T601" s="11"/>
      <c r="U601" s="15"/>
      <c r="V601" s="11"/>
      <c r="W601" s="11"/>
      <c r="X601" s="11"/>
      <c r="Y601" s="11"/>
      <c r="Z601" s="11"/>
    </row>
    <row r="602">
      <c r="A602" s="18"/>
      <c r="B602" s="11"/>
      <c r="C602" s="11"/>
      <c r="D602" s="11"/>
      <c r="E602" s="11"/>
      <c r="F602" s="11"/>
      <c r="G602" s="11"/>
      <c r="H602" s="11"/>
      <c r="I602" s="11"/>
      <c r="J602" s="11"/>
      <c r="K602" s="11"/>
      <c r="L602" s="15"/>
      <c r="M602" s="15"/>
      <c r="N602" s="15"/>
      <c r="O602" s="15"/>
      <c r="P602" s="15"/>
      <c r="Q602" s="11"/>
      <c r="R602" s="11"/>
      <c r="S602" s="11"/>
      <c r="T602" s="11"/>
      <c r="U602" s="15"/>
      <c r="V602" s="11"/>
      <c r="W602" s="11"/>
      <c r="X602" s="11"/>
      <c r="Y602" s="11"/>
      <c r="Z602" s="11"/>
    </row>
    <row r="603">
      <c r="A603" s="18"/>
      <c r="B603" s="11"/>
      <c r="C603" s="11"/>
      <c r="D603" s="11"/>
      <c r="E603" s="11"/>
      <c r="F603" s="11"/>
      <c r="G603" s="11"/>
      <c r="H603" s="11"/>
      <c r="I603" s="11"/>
      <c r="J603" s="11"/>
      <c r="K603" s="11"/>
      <c r="L603" s="15"/>
      <c r="M603" s="15"/>
      <c r="N603" s="15"/>
      <c r="O603" s="15"/>
      <c r="P603" s="15"/>
      <c r="Q603" s="11"/>
      <c r="R603" s="11"/>
      <c r="S603" s="11"/>
      <c r="T603" s="11"/>
      <c r="U603" s="15"/>
      <c r="V603" s="11"/>
      <c r="W603" s="11"/>
      <c r="X603" s="11"/>
      <c r="Y603" s="11"/>
      <c r="Z603" s="11"/>
    </row>
    <row r="604">
      <c r="A604" s="18"/>
      <c r="B604" s="11"/>
      <c r="C604" s="11"/>
      <c r="D604" s="11"/>
      <c r="E604" s="11"/>
      <c r="F604" s="11"/>
      <c r="G604" s="11"/>
      <c r="H604" s="11"/>
      <c r="I604" s="11"/>
      <c r="J604" s="11"/>
      <c r="K604" s="11"/>
      <c r="L604" s="15"/>
      <c r="M604" s="15"/>
      <c r="N604" s="15"/>
      <c r="O604" s="15"/>
      <c r="P604" s="15"/>
      <c r="Q604" s="11"/>
      <c r="R604" s="11"/>
      <c r="S604" s="11"/>
      <c r="T604" s="11"/>
      <c r="U604" s="15"/>
      <c r="V604" s="11"/>
      <c r="W604" s="11"/>
      <c r="X604" s="11"/>
      <c r="Y604" s="11"/>
      <c r="Z604" s="11"/>
    </row>
    <row r="605">
      <c r="A605" s="18"/>
      <c r="B605" s="11"/>
      <c r="C605" s="11"/>
      <c r="D605" s="11"/>
      <c r="E605" s="11"/>
      <c r="F605" s="11"/>
      <c r="G605" s="11"/>
      <c r="H605" s="11"/>
      <c r="I605" s="11"/>
      <c r="J605" s="11"/>
      <c r="K605" s="11"/>
      <c r="L605" s="15"/>
      <c r="M605" s="15"/>
      <c r="N605" s="15"/>
      <c r="O605" s="15"/>
      <c r="P605" s="15"/>
      <c r="Q605" s="11"/>
      <c r="R605" s="11"/>
      <c r="S605" s="11"/>
      <c r="T605" s="11"/>
      <c r="U605" s="15"/>
      <c r="V605" s="11"/>
      <c r="W605" s="11"/>
      <c r="X605" s="11"/>
      <c r="Y605" s="11"/>
      <c r="Z605" s="11"/>
    </row>
    <row r="606">
      <c r="A606" s="18"/>
      <c r="B606" s="11"/>
      <c r="C606" s="11"/>
      <c r="D606" s="11"/>
      <c r="E606" s="11"/>
      <c r="F606" s="11"/>
      <c r="G606" s="11"/>
      <c r="H606" s="11"/>
      <c r="I606" s="11"/>
      <c r="J606" s="11"/>
      <c r="K606" s="11"/>
      <c r="L606" s="15"/>
      <c r="M606" s="15"/>
      <c r="N606" s="15"/>
      <c r="O606" s="15"/>
      <c r="P606" s="15"/>
      <c r="Q606" s="11"/>
      <c r="R606" s="11"/>
      <c r="S606" s="11"/>
      <c r="T606" s="11"/>
      <c r="U606" s="15"/>
      <c r="V606" s="11"/>
      <c r="W606" s="11"/>
      <c r="X606" s="11"/>
      <c r="Y606" s="11"/>
      <c r="Z606" s="11"/>
    </row>
    <row r="607">
      <c r="A607" s="18"/>
      <c r="B607" s="11"/>
      <c r="C607" s="11"/>
      <c r="D607" s="11"/>
      <c r="E607" s="11"/>
      <c r="F607" s="11"/>
      <c r="G607" s="11"/>
      <c r="H607" s="11"/>
      <c r="I607" s="11"/>
      <c r="J607" s="11"/>
      <c r="K607" s="11"/>
      <c r="L607" s="15"/>
      <c r="M607" s="15"/>
      <c r="N607" s="15"/>
      <c r="O607" s="15"/>
      <c r="P607" s="15"/>
      <c r="Q607" s="11"/>
      <c r="R607" s="11"/>
      <c r="S607" s="11"/>
      <c r="T607" s="11"/>
      <c r="U607" s="15"/>
      <c r="V607" s="11"/>
      <c r="W607" s="11"/>
      <c r="X607" s="11"/>
      <c r="Y607" s="11"/>
      <c r="Z607" s="11"/>
    </row>
    <row r="608">
      <c r="A608" s="18"/>
      <c r="B608" s="11"/>
      <c r="C608" s="11"/>
      <c r="D608" s="11"/>
      <c r="E608" s="11"/>
      <c r="F608" s="11"/>
      <c r="G608" s="11"/>
      <c r="H608" s="11"/>
      <c r="I608" s="11"/>
      <c r="J608" s="11"/>
      <c r="K608" s="11"/>
      <c r="L608" s="15"/>
      <c r="M608" s="15"/>
      <c r="N608" s="15"/>
      <c r="O608" s="15"/>
      <c r="P608" s="15"/>
      <c r="Q608" s="11"/>
      <c r="R608" s="11"/>
      <c r="S608" s="11"/>
      <c r="T608" s="11"/>
      <c r="U608" s="15"/>
      <c r="V608" s="11"/>
      <c r="W608" s="11"/>
      <c r="X608" s="11"/>
      <c r="Y608" s="11"/>
      <c r="Z608" s="11"/>
    </row>
    <row r="609">
      <c r="A609" s="18"/>
      <c r="B609" s="11"/>
      <c r="C609" s="11"/>
      <c r="D609" s="11"/>
      <c r="E609" s="11"/>
      <c r="F609" s="11"/>
      <c r="G609" s="11"/>
      <c r="H609" s="11"/>
      <c r="I609" s="11"/>
      <c r="J609" s="11"/>
      <c r="K609" s="11"/>
      <c r="L609" s="15"/>
      <c r="M609" s="15"/>
      <c r="N609" s="15"/>
      <c r="O609" s="15"/>
      <c r="P609" s="15"/>
      <c r="Q609" s="11"/>
      <c r="R609" s="11"/>
      <c r="S609" s="11"/>
      <c r="T609" s="11"/>
      <c r="U609" s="15"/>
      <c r="V609" s="11"/>
      <c r="W609" s="11"/>
      <c r="X609" s="11"/>
      <c r="Y609" s="11"/>
      <c r="Z609" s="11"/>
    </row>
    <row r="610">
      <c r="A610" s="18"/>
      <c r="B610" s="11"/>
      <c r="C610" s="11"/>
      <c r="D610" s="11"/>
      <c r="E610" s="11"/>
      <c r="F610" s="11"/>
      <c r="G610" s="11"/>
      <c r="H610" s="11"/>
      <c r="I610" s="11"/>
      <c r="J610" s="11"/>
      <c r="K610" s="11"/>
      <c r="L610" s="15"/>
      <c r="M610" s="15"/>
      <c r="N610" s="15"/>
      <c r="O610" s="15"/>
      <c r="P610" s="15"/>
      <c r="Q610" s="11"/>
      <c r="R610" s="11"/>
      <c r="S610" s="11"/>
      <c r="T610" s="11"/>
      <c r="U610" s="15"/>
      <c r="V610" s="11"/>
      <c r="W610" s="11"/>
      <c r="X610" s="11"/>
      <c r="Y610" s="11"/>
      <c r="Z610" s="11"/>
    </row>
    <row r="611">
      <c r="A611" s="18"/>
      <c r="B611" s="11"/>
      <c r="C611" s="11"/>
      <c r="D611" s="11"/>
      <c r="E611" s="11"/>
      <c r="F611" s="11"/>
      <c r="G611" s="11"/>
      <c r="H611" s="11"/>
      <c r="I611" s="11"/>
      <c r="J611" s="11"/>
      <c r="K611" s="11"/>
      <c r="L611" s="15"/>
      <c r="M611" s="15"/>
      <c r="N611" s="15"/>
      <c r="O611" s="15"/>
      <c r="P611" s="15"/>
      <c r="Q611" s="11"/>
      <c r="R611" s="11"/>
      <c r="S611" s="11"/>
      <c r="T611" s="11"/>
      <c r="U611" s="15"/>
      <c r="V611" s="11"/>
      <c r="W611" s="11"/>
      <c r="X611" s="11"/>
      <c r="Y611" s="11"/>
      <c r="Z611" s="11"/>
    </row>
    <row r="612">
      <c r="A612" s="18"/>
      <c r="B612" s="11"/>
      <c r="C612" s="11"/>
      <c r="D612" s="11"/>
      <c r="E612" s="11"/>
      <c r="F612" s="11"/>
      <c r="G612" s="11"/>
      <c r="H612" s="11"/>
      <c r="I612" s="11"/>
      <c r="J612" s="11"/>
      <c r="K612" s="11"/>
      <c r="L612" s="15"/>
      <c r="M612" s="15"/>
      <c r="N612" s="15"/>
      <c r="O612" s="15"/>
      <c r="P612" s="15"/>
      <c r="Q612" s="11"/>
      <c r="R612" s="11"/>
      <c r="S612" s="11"/>
      <c r="T612" s="11"/>
      <c r="U612" s="15"/>
      <c r="V612" s="11"/>
      <c r="W612" s="11"/>
      <c r="X612" s="11"/>
      <c r="Y612" s="11"/>
      <c r="Z612" s="11"/>
    </row>
    <row r="613">
      <c r="A613" s="18"/>
      <c r="B613" s="11"/>
      <c r="C613" s="11"/>
      <c r="D613" s="11"/>
      <c r="E613" s="11"/>
      <c r="F613" s="11"/>
      <c r="G613" s="11"/>
      <c r="H613" s="11"/>
      <c r="I613" s="11"/>
      <c r="J613" s="11"/>
      <c r="K613" s="11"/>
      <c r="L613" s="15"/>
      <c r="M613" s="15"/>
      <c r="N613" s="15"/>
      <c r="O613" s="15"/>
      <c r="P613" s="15"/>
      <c r="Q613" s="11"/>
      <c r="R613" s="11"/>
      <c r="S613" s="11"/>
      <c r="T613" s="11"/>
      <c r="U613" s="15"/>
      <c r="V613" s="11"/>
      <c r="W613" s="11"/>
      <c r="X613" s="11"/>
      <c r="Y613" s="11"/>
      <c r="Z613" s="11"/>
    </row>
    <row r="614">
      <c r="A614" s="18"/>
      <c r="B614" s="11"/>
      <c r="C614" s="11"/>
      <c r="D614" s="11"/>
      <c r="E614" s="11"/>
      <c r="F614" s="11"/>
      <c r="G614" s="11"/>
      <c r="H614" s="11"/>
      <c r="I614" s="11"/>
      <c r="J614" s="11"/>
      <c r="K614" s="11"/>
      <c r="L614" s="15"/>
      <c r="M614" s="15"/>
      <c r="N614" s="15"/>
      <c r="O614" s="15"/>
      <c r="P614" s="15"/>
      <c r="Q614" s="11"/>
      <c r="R614" s="11"/>
      <c r="S614" s="11"/>
      <c r="T614" s="11"/>
      <c r="U614" s="15"/>
      <c r="V614" s="11"/>
      <c r="W614" s="11"/>
      <c r="X614" s="11"/>
      <c r="Y614" s="11"/>
      <c r="Z614" s="11"/>
    </row>
    <row r="615">
      <c r="A615" s="18"/>
      <c r="B615" s="11"/>
      <c r="C615" s="11"/>
      <c r="D615" s="11"/>
      <c r="E615" s="11"/>
      <c r="F615" s="11"/>
      <c r="G615" s="11"/>
      <c r="H615" s="11"/>
      <c r="I615" s="11"/>
      <c r="J615" s="11"/>
      <c r="K615" s="11"/>
      <c r="L615" s="15"/>
      <c r="M615" s="15"/>
      <c r="N615" s="15"/>
      <c r="O615" s="15"/>
      <c r="P615" s="15"/>
      <c r="Q615" s="11"/>
      <c r="R615" s="11"/>
      <c r="S615" s="11"/>
      <c r="T615" s="11"/>
      <c r="U615" s="15"/>
      <c r="V615" s="11"/>
      <c r="W615" s="11"/>
      <c r="X615" s="11"/>
      <c r="Y615" s="11"/>
      <c r="Z615" s="11"/>
    </row>
    <row r="616">
      <c r="A616" s="18"/>
      <c r="B616" s="11"/>
      <c r="C616" s="11"/>
      <c r="D616" s="11"/>
      <c r="E616" s="11"/>
      <c r="F616" s="11"/>
      <c r="G616" s="11"/>
      <c r="H616" s="11"/>
      <c r="I616" s="11"/>
      <c r="J616" s="11"/>
      <c r="K616" s="11"/>
      <c r="L616" s="15"/>
      <c r="M616" s="15"/>
      <c r="N616" s="15"/>
      <c r="O616" s="15"/>
      <c r="P616" s="15"/>
      <c r="Q616" s="11"/>
      <c r="R616" s="11"/>
      <c r="S616" s="11"/>
      <c r="T616" s="11"/>
      <c r="U616" s="15"/>
      <c r="V616" s="11"/>
      <c r="W616" s="11"/>
      <c r="X616" s="11"/>
      <c r="Y616" s="11"/>
      <c r="Z616" s="11"/>
    </row>
    <row r="617">
      <c r="A617" s="18"/>
      <c r="B617" s="11"/>
      <c r="C617" s="11"/>
      <c r="D617" s="11"/>
      <c r="E617" s="11"/>
      <c r="F617" s="11"/>
      <c r="G617" s="11"/>
      <c r="H617" s="11"/>
      <c r="I617" s="11"/>
      <c r="J617" s="11"/>
      <c r="K617" s="11"/>
      <c r="L617" s="15"/>
      <c r="M617" s="15"/>
      <c r="N617" s="15"/>
      <c r="O617" s="15"/>
      <c r="P617" s="15"/>
      <c r="Q617" s="11"/>
      <c r="R617" s="11"/>
      <c r="S617" s="11"/>
      <c r="T617" s="11"/>
      <c r="U617" s="15"/>
      <c r="V617" s="11"/>
      <c r="W617" s="11"/>
      <c r="X617" s="11"/>
      <c r="Y617" s="11"/>
      <c r="Z617" s="11"/>
    </row>
    <row r="618">
      <c r="A618" s="18"/>
      <c r="B618" s="11"/>
      <c r="C618" s="11"/>
      <c r="D618" s="11"/>
      <c r="E618" s="11"/>
      <c r="F618" s="11"/>
      <c r="G618" s="11"/>
      <c r="H618" s="11"/>
      <c r="I618" s="11"/>
      <c r="J618" s="11"/>
      <c r="K618" s="11"/>
      <c r="L618" s="15"/>
      <c r="M618" s="15"/>
      <c r="N618" s="15"/>
      <c r="O618" s="15"/>
      <c r="P618" s="15"/>
      <c r="Q618" s="11"/>
      <c r="R618" s="11"/>
      <c r="S618" s="11"/>
      <c r="T618" s="11"/>
      <c r="U618" s="15"/>
      <c r="V618" s="11"/>
      <c r="W618" s="11"/>
      <c r="X618" s="11"/>
      <c r="Y618" s="11"/>
      <c r="Z618" s="11"/>
    </row>
    <row r="619">
      <c r="A619" s="18"/>
      <c r="B619" s="11"/>
      <c r="C619" s="11"/>
      <c r="D619" s="11"/>
      <c r="E619" s="11"/>
      <c r="F619" s="11"/>
      <c r="G619" s="11"/>
      <c r="H619" s="11"/>
      <c r="I619" s="11"/>
      <c r="J619" s="11"/>
      <c r="K619" s="11"/>
      <c r="L619" s="15"/>
      <c r="M619" s="15"/>
      <c r="N619" s="15"/>
      <c r="O619" s="15"/>
      <c r="P619" s="15"/>
      <c r="Q619" s="11"/>
      <c r="R619" s="11"/>
      <c r="S619" s="11"/>
      <c r="T619" s="11"/>
      <c r="U619" s="15"/>
      <c r="V619" s="11"/>
      <c r="W619" s="11"/>
      <c r="X619" s="11"/>
      <c r="Y619" s="11"/>
      <c r="Z619" s="11"/>
    </row>
    <row r="620">
      <c r="A620" s="18"/>
      <c r="B620" s="11"/>
      <c r="C620" s="11"/>
      <c r="D620" s="11"/>
      <c r="E620" s="11"/>
      <c r="F620" s="11"/>
      <c r="G620" s="11"/>
      <c r="H620" s="11"/>
      <c r="I620" s="11"/>
      <c r="J620" s="11"/>
      <c r="K620" s="11"/>
      <c r="L620" s="15"/>
      <c r="M620" s="15"/>
      <c r="N620" s="15"/>
      <c r="O620" s="15"/>
      <c r="P620" s="15"/>
      <c r="Q620" s="11"/>
      <c r="R620" s="11"/>
      <c r="S620" s="11"/>
      <c r="T620" s="11"/>
      <c r="U620" s="15"/>
      <c r="V620" s="11"/>
      <c r="W620" s="11"/>
      <c r="X620" s="11"/>
      <c r="Y620" s="11"/>
      <c r="Z620" s="11"/>
    </row>
    <row r="621">
      <c r="A621" s="18"/>
      <c r="B621" s="11"/>
      <c r="C621" s="11"/>
      <c r="D621" s="11"/>
      <c r="E621" s="11"/>
      <c r="F621" s="11"/>
      <c r="G621" s="11"/>
      <c r="H621" s="11"/>
      <c r="I621" s="11"/>
      <c r="J621" s="11"/>
      <c r="K621" s="11"/>
      <c r="L621" s="15"/>
      <c r="M621" s="15"/>
      <c r="N621" s="15"/>
      <c r="O621" s="15"/>
      <c r="P621" s="15"/>
      <c r="Q621" s="11"/>
      <c r="R621" s="11"/>
      <c r="S621" s="11"/>
      <c r="T621" s="11"/>
      <c r="U621" s="15"/>
      <c r="V621" s="11"/>
      <c r="W621" s="11"/>
      <c r="X621" s="11"/>
      <c r="Y621" s="11"/>
      <c r="Z621" s="11"/>
    </row>
    <row r="622">
      <c r="A622" s="18"/>
      <c r="B622" s="11"/>
      <c r="C622" s="11"/>
      <c r="D622" s="11"/>
      <c r="E622" s="11"/>
      <c r="F622" s="11"/>
      <c r="G622" s="11"/>
      <c r="H622" s="11"/>
      <c r="I622" s="11"/>
      <c r="J622" s="11"/>
      <c r="K622" s="11"/>
      <c r="L622" s="15"/>
      <c r="M622" s="15"/>
      <c r="N622" s="15"/>
      <c r="O622" s="15"/>
      <c r="P622" s="15"/>
      <c r="Q622" s="11"/>
      <c r="R622" s="11"/>
      <c r="S622" s="11"/>
      <c r="T622" s="11"/>
      <c r="U622" s="15"/>
      <c r="V622" s="11"/>
      <c r="W622" s="11"/>
      <c r="X622" s="11"/>
      <c r="Y622" s="11"/>
      <c r="Z622" s="11"/>
    </row>
    <row r="623">
      <c r="A623" s="18"/>
      <c r="B623" s="11"/>
      <c r="C623" s="11"/>
      <c r="D623" s="11"/>
      <c r="E623" s="11"/>
      <c r="F623" s="11"/>
      <c r="G623" s="11"/>
      <c r="H623" s="11"/>
      <c r="I623" s="11"/>
      <c r="J623" s="11"/>
      <c r="K623" s="11"/>
      <c r="L623" s="15"/>
      <c r="M623" s="15"/>
      <c r="N623" s="15"/>
      <c r="O623" s="15"/>
      <c r="P623" s="15"/>
      <c r="Q623" s="11"/>
      <c r="R623" s="11"/>
      <c r="S623" s="11"/>
      <c r="T623" s="11"/>
      <c r="U623" s="15"/>
      <c r="V623" s="11"/>
      <c r="W623" s="11"/>
      <c r="X623" s="11"/>
      <c r="Y623" s="11"/>
      <c r="Z623" s="11"/>
    </row>
    <row r="624">
      <c r="A624" s="18"/>
      <c r="B624" s="11"/>
      <c r="C624" s="11"/>
      <c r="D624" s="11"/>
      <c r="E624" s="11"/>
      <c r="F624" s="11"/>
      <c r="G624" s="11"/>
      <c r="H624" s="11"/>
      <c r="I624" s="11"/>
      <c r="J624" s="11"/>
      <c r="K624" s="11"/>
      <c r="L624" s="15"/>
      <c r="M624" s="15"/>
      <c r="N624" s="15"/>
      <c r="O624" s="15"/>
      <c r="P624" s="15"/>
      <c r="Q624" s="11"/>
      <c r="R624" s="11"/>
      <c r="S624" s="11"/>
      <c r="T624" s="11"/>
      <c r="U624" s="15"/>
      <c r="V624" s="11"/>
      <c r="W624" s="11"/>
      <c r="X624" s="11"/>
      <c r="Y624" s="11"/>
      <c r="Z624" s="11"/>
    </row>
    <row r="625">
      <c r="A625" s="18"/>
      <c r="B625" s="11"/>
      <c r="C625" s="11"/>
      <c r="D625" s="11"/>
      <c r="E625" s="11"/>
      <c r="F625" s="11"/>
      <c r="G625" s="11"/>
      <c r="H625" s="11"/>
      <c r="I625" s="11"/>
      <c r="J625" s="11"/>
      <c r="K625" s="11"/>
      <c r="L625" s="15"/>
      <c r="M625" s="15"/>
      <c r="N625" s="15"/>
      <c r="O625" s="15"/>
      <c r="P625" s="15"/>
      <c r="Q625" s="11"/>
      <c r="R625" s="11"/>
      <c r="S625" s="11"/>
      <c r="T625" s="11"/>
      <c r="U625" s="15"/>
      <c r="V625" s="11"/>
      <c r="W625" s="11"/>
      <c r="X625" s="11"/>
      <c r="Y625" s="11"/>
      <c r="Z625" s="11"/>
    </row>
    <row r="626">
      <c r="A626" s="18"/>
      <c r="B626" s="11"/>
      <c r="C626" s="11"/>
      <c r="D626" s="11"/>
      <c r="E626" s="11"/>
      <c r="F626" s="11"/>
      <c r="G626" s="11"/>
      <c r="H626" s="11"/>
      <c r="I626" s="11"/>
      <c r="J626" s="11"/>
      <c r="K626" s="11"/>
      <c r="L626" s="15"/>
      <c r="M626" s="15"/>
      <c r="N626" s="15"/>
      <c r="O626" s="15"/>
      <c r="P626" s="15"/>
      <c r="Q626" s="11"/>
      <c r="R626" s="11"/>
      <c r="S626" s="11"/>
      <c r="T626" s="11"/>
      <c r="U626" s="15"/>
      <c r="V626" s="11"/>
      <c r="W626" s="11"/>
      <c r="X626" s="11"/>
      <c r="Y626" s="11"/>
      <c r="Z626" s="11"/>
    </row>
    <row r="627">
      <c r="A627" s="18"/>
      <c r="B627" s="11"/>
      <c r="C627" s="11"/>
      <c r="D627" s="11"/>
      <c r="E627" s="11"/>
      <c r="F627" s="11"/>
      <c r="G627" s="11"/>
      <c r="H627" s="11"/>
      <c r="I627" s="11"/>
      <c r="J627" s="11"/>
      <c r="K627" s="11"/>
      <c r="L627" s="15"/>
      <c r="M627" s="15"/>
      <c r="N627" s="15"/>
      <c r="O627" s="15"/>
      <c r="P627" s="15"/>
      <c r="Q627" s="11"/>
      <c r="R627" s="11"/>
      <c r="S627" s="11"/>
      <c r="T627" s="11"/>
      <c r="U627" s="15"/>
      <c r="V627" s="11"/>
      <c r="W627" s="11"/>
      <c r="X627" s="11"/>
      <c r="Y627" s="11"/>
      <c r="Z627" s="11"/>
    </row>
    <row r="628">
      <c r="A628" s="18"/>
      <c r="B628" s="11"/>
      <c r="C628" s="11"/>
      <c r="D628" s="11"/>
      <c r="E628" s="11"/>
      <c r="F628" s="11"/>
      <c r="G628" s="11"/>
      <c r="H628" s="11"/>
      <c r="I628" s="11"/>
      <c r="J628" s="11"/>
      <c r="K628" s="11"/>
      <c r="L628" s="15"/>
      <c r="M628" s="15"/>
      <c r="N628" s="15"/>
      <c r="O628" s="15"/>
      <c r="P628" s="15"/>
      <c r="Q628" s="11"/>
      <c r="R628" s="11"/>
      <c r="S628" s="11"/>
      <c r="T628" s="11"/>
      <c r="U628" s="15"/>
      <c r="V628" s="11"/>
      <c r="W628" s="11"/>
      <c r="X628" s="11"/>
      <c r="Y628" s="11"/>
      <c r="Z628" s="11"/>
    </row>
    <row r="629">
      <c r="A629" s="18"/>
      <c r="B629" s="11"/>
      <c r="C629" s="11"/>
      <c r="D629" s="11"/>
      <c r="E629" s="11"/>
      <c r="F629" s="11"/>
      <c r="G629" s="11"/>
      <c r="H629" s="11"/>
      <c r="I629" s="11"/>
      <c r="J629" s="11"/>
      <c r="K629" s="11"/>
      <c r="L629" s="15"/>
      <c r="M629" s="15"/>
      <c r="N629" s="15"/>
      <c r="O629" s="15"/>
      <c r="P629" s="15"/>
      <c r="Q629" s="11"/>
      <c r="R629" s="11"/>
      <c r="S629" s="11"/>
      <c r="T629" s="11"/>
      <c r="U629" s="15"/>
      <c r="V629" s="11"/>
      <c r="W629" s="11"/>
      <c r="X629" s="11"/>
      <c r="Y629" s="11"/>
      <c r="Z629" s="11"/>
    </row>
    <row r="630">
      <c r="A630" s="18"/>
      <c r="B630" s="11"/>
      <c r="C630" s="11"/>
      <c r="D630" s="11"/>
      <c r="E630" s="11"/>
      <c r="F630" s="11"/>
      <c r="G630" s="11"/>
      <c r="H630" s="11"/>
      <c r="I630" s="11"/>
      <c r="J630" s="11"/>
      <c r="K630" s="11"/>
      <c r="L630" s="15"/>
      <c r="M630" s="15"/>
      <c r="N630" s="15"/>
      <c r="O630" s="15"/>
      <c r="P630" s="15"/>
      <c r="Q630" s="11"/>
      <c r="R630" s="11"/>
      <c r="S630" s="11"/>
      <c r="T630" s="11"/>
      <c r="U630" s="15"/>
      <c r="V630" s="11"/>
      <c r="W630" s="11"/>
      <c r="X630" s="11"/>
      <c r="Y630" s="11"/>
      <c r="Z630" s="11"/>
    </row>
    <row r="631">
      <c r="A631" s="18"/>
      <c r="B631" s="11"/>
      <c r="C631" s="11"/>
      <c r="D631" s="11"/>
      <c r="E631" s="11"/>
      <c r="F631" s="11"/>
      <c r="G631" s="11"/>
      <c r="H631" s="11"/>
      <c r="I631" s="11"/>
      <c r="J631" s="11"/>
      <c r="K631" s="11"/>
      <c r="L631" s="15"/>
      <c r="M631" s="15"/>
      <c r="N631" s="15"/>
      <c r="O631" s="15"/>
      <c r="P631" s="15"/>
      <c r="Q631" s="11"/>
      <c r="R631" s="11"/>
      <c r="S631" s="11"/>
      <c r="T631" s="11"/>
      <c r="U631" s="15"/>
      <c r="V631" s="11"/>
      <c r="W631" s="11"/>
      <c r="X631" s="11"/>
      <c r="Y631" s="11"/>
      <c r="Z631" s="11"/>
    </row>
    <row r="632">
      <c r="A632" s="18"/>
      <c r="B632" s="11"/>
      <c r="C632" s="11"/>
      <c r="D632" s="11"/>
      <c r="E632" s="11"/>
      <c r="F632" s="11"/>
      <c r="G632" s="11"/>
      <c r="H632" s="11"/>
      <c r="I632" s="11"/>
      <c r="J632" s="11"/>
      <c r="K632" s="11"/>
      <c r="L632" s="15"/>
      <c r="M632" s="15"/>
      <c r="N632" s="15"/>
      <c r="O632" s="15"/>
      <c r="P632" s="15"/>
      <c r="Q632" s="11"/>
      <c r="R632" s="11"/>
      <c r="S632" s="11"/>
      <c r="T632" s="11"/>
      <c r="U632" s="15"/>
      <c r="V632" s="11"/>
      <c r="W632" s="11"/>
      <c r="X632" s="11"/>
      <c r="Y632" s="11"/>
      <c r="Z632" s="11"/>
    </row>
    <row r="633">
      <c r="A633" s="18"/>
      <c r="B633" s="11"/>
      <c r="C633" s="11"/>
      <c r="D633" s="11"/>
      <c r="E633" s="11"/>
      <c r="F633" s="11"/>
      <c r="G633" s="11"/>
      <c r="H633" s="11"/>
      <c r="I633" s="11"/>
      <c r="J633" s="11"/>
      <c r="K633" s="11"/>
      <c r="L633" s="15"/>
      <c r="M633" s="15"/>
      <c r="N633" s="15"/>
      <c r="O633" s="15"/>
      <c r="P633" s="15"/>
      <c r="Q633" s="11"/>
      <c r="R633" s="11"/>
      <c r="S633" s="11"/>
      <c r="T633" s="11"/>
      <c r="U633" s="15"/>
      <c r="V633" s="11"/>
      <c r="W633" s="11"/>
      <c r="X633" s="11"/>
      <c r="Y633" s="11"/>
      <c r="Z633" s="11"/>
    </row>
    <row r="634">
      <c r="A634" s="18"/>
      <c r="B634" s="11"/>
      <c r="C634" s="11"/>
      <c r="D634" s="11"/>
      <c r="E634" s="11"/>
      <c r="F634" s="11"/>
      <c r="G634" s="11"/>
      <c r="H634" s="11"/>
      <c r="I634" s="11"/>
      <c r="J634" s="11"/>
      <c r="K634" s="11"/>
      <c r="L634" s="15"/>
      <c r="M634" s="15"/>
      <c r="N634" s="15"/>
      <c r="O634" s="15"/>
      <c r="P634" s="15"/>
      <c r="Q634" s="11"/>
      <c r="R634" s="11"/>
      <c r="S634" s="11"/>
      <c r="T634" s="11"/>
      <c r="U634" s="15"/>
      <c r="V634" s="11"/>
      <c r="W634" s="11"/>
      <c r="X634" s="11"/>
      <c r="Y634" s="11"/>
      <c r="Z634" s="11"/>
    </row>
    <row r="635">
      <c r="A635" s="18"/>
      <c r="B635" s="11"/>
      <c r="C635" s="11"/>
      <c r="D635" s="11"/>
      <c r="E635" s="11"/>
      <c r="F635" s="11"/>
      <c r="G635" s="11"/>
      <c r="H635" s="11"/>
      <c r="I635" s="11"/>
      <c r="J635" s="11"/>
      <c r="K635" s="11"/>
      <c r="L635" s="15"/>
      <c r="M635" s="15"/>
      <c r="N635" s="15"/>
      <c r="O635" s="15"/>
      <c r="P635" s="15"/>
      <c r="Q635" s="11"/>
      <c r="R635" s="11"/>
      <c r="S635" s="11"/>
      <c r="T635" s="11"/>
      <c r="U635" s="15"/>
      <c r="V635" s="11"/>
      <c r="W635" s="11"/>
      <c r="X635" s="11"/>
      <c r="Y635" s="11"/>
      <c r="Z635" s="11"/>
    </row>
    <row r="636">
      <c r="A636" s="18"/>
      <c r="B636" s="11"/>
      <c r="C636" s="11"/>
      <c r="D636" s="11"/>
      <c r="E636" s="11"/>
      <c r="F636" s="11"/>
      <c r="G636" s="11"/>
      <c r="H636" s="11"/>
      <c r="I636" s="11"/>
      <c r="J636" s="11"/>
      <c r="K636" s="11"/>
      <c r="L636" s="15"/>
      <c r="M636" s="15"/>
      <c r="N636" s="15"/>
      <c r="O636" s="15"/>
      <c r="P636" s="15"/>
      <c r="Q636" s="11"/>
      <c r="R636" s="11"/>
      <c r="S636" s="11"/>
      <c r="T636" s="11"/>
      <c r="U636" s="15"/>
      <c r="V636" s="11"/>
      <c r="W636" s="11"/>
      <c r="X636" s="11"/>
      <c r="Y636" s="11"/>
      <c r="Z636" s="11"/>
    </row>
    <row r="637">
      <c r="A637" s="18"/>
      <c r="B637" s="11"/>
      <c r="C637" s="11"/>
      <c r="D637" s="11"/>
      <c r="E637" s="11"/>
      <c r="F637" s="11"/>
      <c r="G637" s="11"/>
      <c r="H637" s="11"/>
      <c r="I637" s="11"/>
      <c r="J637" s="11"/>
      <c r="K637" s="11"/>
      <c r="L637" s="15"/>
      <c r="M637" s="15"/>
      <c r="N637" s="15"/>
      <c r="O637" s="15"/>
      <c r="P637" s="15"/>
      <c r="Q637" s="11"/>
      <c r="R637" s="11"/>
      <c r="S637" s="11"/>
      <c r="T637" s="11"/>
      <c r="U637" s="15"/>
      <c r="V637" s="11"/>
      <c r="W637" s="11"/>
      <c r="X637" s="11"/>
      <c r="Y637" s="11"/>
      <c r="Z637" s="11"/>
    </row>
    <row r="638">
      <c r="A638" s="18"/>
      <c r="B638" s="11"/>
      <c r="C638" s="11"/>
      <c r="D638" s="11"/>
      <c r="E638" s="11"/>
      <c r="F638" s="11"/>
      <c r="G638" s="11"/>
      <c r="H638" s="11"/>
      <c r="I638" s="11"/>
      <c r="J638" s="11"/>
      <c r="K638" s="11"/>
      <c r="L638" s="15"/>
      <c r="M638" s="15"/>
      <c r="N638" s="15"/>
      <c r="O638" s="15"/>
      <c r="P638" s="15"/>
      <c r="Q638" s="11"/>
      <c r="R638" s="11"/>
      <c r="S638" s="11"/>
      <c r="T638" s="11"/>
      <c r="U638" s="15"/>
      <c r="V638" s="11"/>
      <c r="W638" s="11"/>
      <c r="X638" s="11"/>
      <c r="Y638" s="11"/>
      <c r="Z638" s="11"/>
    </row>
    <row r="639">
      <c r="A639" s="18"/>
      <c r="B639" s="11"/>
      <c r="C639" s="11"/>
      <c r="D639" s="11"/>
      <c r="E639" s="11"/>
      <c r="F639" s="11"/>
      <c r="G639" s="11"/>
      <c r="H639" s="11"/>
      <c r="I639" s="11"/>
      <c r="J639" s="11"/>
      <c r="K639" s="11"/>
      <c r="L639" s="15"/>
      <c r="M639" s="15"/>
      <c r="N639" s="15"/>
      <c r="O639" s="15"/>
      <c r="P639" s="15"/>
      <c r="Q639" s="11"/>
      <c r="R639" s="11"/>
      <c r="S639" s="11"/>
      <c r="T639" s="11"/>
      <c r="U639" s="15"/>
      <c r="V639" s="11"/>
      <c r="W639" s="11"/>
      <c r="X639" s="11"/>
      <c r="Y639" s="11"/>
      <c r="Z639" s="11"/>
    </row>
    <row r="640">
      <c r="A640" s="18"/>
      <c r="B640" s="11"/>
      <c r="C640" s="11"/>
      <c r="D640" s="11"/>
      <c r="E640" s="11"/>
      <c r="F640" s="11"/>
      <c r="G640" s="11"/>
      <c r="H640" s="11"/>
      <c r="I640" s="11"/>
      <c r="J640" s="11"/>
      <c r="K640" s="11"/>
      <c r="L640" s="15"/>
      <c r="M640" s="15"/>
      <c r="N640" s="15"/>
      <c r="O640" s="15"/>
      <c r="P640" s="15"/>
      <c r="Q640" s="11"/>
      <c r="R640" s="11"/>
      <c r="S640" s="11"/>
      <c r="T640" s="11"/>
      <c r="U640" s="15"/>
      <c r="V640" s="11"/>
      <c r="W640" s="11"/>
      <c r="X640" s="11"/>
      <c r="Y640" s="11"/>
      <c r="Z640" s="11"/>
    </row>
    <row r="641">
      <c r="A641" s="18"/>
      <c r="B641" s="11"/>
      <c r="C641" s="11"/>
      <c r="D641" s="11"/>
      <c r="E641" s="11"/>
      <c r="F641" s="11"/>
      <c r="G641" s="11"/>
      <c r="H641" s="11"/>
      <c r="I641" s="11"/>
      <c r="J641" s="11"/>
      <c r="K641" s="11"/>
      <c r="L641" s="15"/>
      <c r="M641" s="15"/>
      <c r="N641" s="15"/>
      <c r="O641" s="15"/>
      <c r="P641" s="15"/>
      <c r="Q641" s="11"/>
      <c r="R641" s="11"/>
      <c r="S641" s="11"/>
      <c r="T641" s="11"/>
      <c r="U641" s="15"/>
      <c r="V641" s="11"/>
      <c r="W641" s="11"/>
      <c r="X641" s="11"/>
      <c r="Y641" s="11"/>
      <c r="Z641" s="11"/>
    </row>
    <row r="642">
      <c r="A642" s="18"/>
      <c r="B642" s="11"/>
      <c r="C642" s="11"/>
      <c r="D642" s="11"/>
      <c r="E642" s="11"/>
      <c r="F642" s="11"/>
      <c r="G642" s="11"/>
      <c r="H642" s="11"/>
      <c r="I642" s="11"/>
      <c r="J642" s="11"/>
      <c r="K642" s="11"/>
      <c r="L642" s="15"/>
      <c r="M642" s="15"/>
      <c r="N642" s="15"/>
      <c r="O642" s="15"/>
      <c r="P642" s="15"/>
      <c r="Q642" s="11"/>
      <c r="R642" s="11"/>
      <c r="S642" s="11"/>
      <c r="T642" s="11"/>
      <c r="U642" s="15"/>
      <c r="V642" s="11"/>
      <c r="W642" s="11"/>
      <c r="X642" s="11"/>
      <c r="Y642" s="11"/>
      <c r="Z642" s="11"/>
    </row>
    <row r="643">
      <c r="A643" s="18"/>
      <c r="B643" s="11"/>
      <c r="C643" s="11"/>
      <c r="D643" s="11"/>
      <c r="E643" s="11"/>
      <c r="F643" s="11"/>
      <c r="G643" s="11"/>
      <c r="H643" s="11"/>
      <c r="I643" s="11"/>
      <c r="J643" s="11"/>
      <c r="K643" s="11"/>
      <c r="L643" s="15"/>
      <c r="M643" s="15"/>
      <c r="N643" s="15"/>
      <c r="O643" s="15"/>
      <c r="P643" s="15"/>
      <c r="Q643" s="11"/>
      <c r="R643" s="11"/>
      <c r="S643" s="11"/>
      <c r="T643" s="11"/>
      <c r="U643" s="15"/>
      <c r="V643" s="11"/>
      <c r="W643" s="11"/>
      <c r="X643" s="11"/>
      <c r="Y643" s="11"/>
      <c r="Z643" s="11"/>
    </row>
    <row r="644">
      <c r="A644" s="18"/>
      <c r="B644" s="11"/>
      <c r="C644" s="11"/>
      <c r="D644" s="11"/>
      <c r="E644" s="11"/>
      <c r="F644" s="11"/>
      <c r="G644" s="11"/>
      <c r="H644" s="11"/>
      <c r="I644" s="11"/>
      <c r="J644" s="11"/>
      <c r="K644" s="11"/>
      <c r="L644" s="15"/>
      <c r="M644" s="15"/>
      <c r="N644" s="15"/>
      <c r="O644" s="15"/>
      <c r="P644" s="15"/>
      <c r="Q644" s="11"/>
      <c r="R644" s="11"/>
      <c r="S644" s="11"/>
      <c r="T644" s="11"/>
      <c r="U644" s="15"/>
      <c r="V644" s="11"/>
      <c r="W644" s="11"/>
      <c r="X644" s="11"/>
      <c r="Y644" s="11"/>
      <c r="Z644" s="11"/>
    </row>
    <row r="645">
      <c r="A645" s="18"/>
      <c r="B645" s="11"/>
      <c r="C645" s="11"/>
      <c r="D645" s="11"/>
      <c r="E645" s="11"/>
      <c r="F645" s="11"/>
      <c r="G645" s="11"/>
      <c r="H645" s="11"/>
      <c r="I645" s="11"/>
      <c r="J645" s="11"/>
      <c r="K645" s="11"/>
      <c r="L645" s="15"/>
      <c r="M645" s="15"/>
      <c r="N645" s="15"/>
      <c r="O645" s="15"/>
      <c r="P645" s="15"/>
      <c r="Q645" s="11"/>
      <c r="R645" s="11"/>
      <c r="S645" s="11"/>
      <c r="T645" s="11"/>
      <c r="U645" s="15"/>
      <c r="V645" s="11"/>
      <c r="W645" s="11"/>
      <c r="X645" s="11"/>
      <c r="Y645" s="11"/>
      <c r="Z645" s="11"/>
    </row>
    <row r="646">
      <c r="A646" s="18"/>
      <c r="B646" s="11"/>
      <c r="C646" s="11"/>
      <c r="D646" s="11"/>
      <c r="E646" s="11"/>
      <c r="F646" s="11"/>
      <c r="G646" s="11"/>
      <c r="H646" s="11"/>
      <c r="I646" s="11"/>
      <c r="J646" s="11"/>
      <c r="K646" s="11"/>
      <c r="L646" s="15"/>
      <c r="M646" s="15"/>
      <c r="N646" s="15"/>
      <c r="O646" s="15"/>
      <c r="P646" s="15"/>
      <c r="Q646" s="11"/>
      <c r="R646" s="11"/>
      <c r="S646" s="11"/>
      <c r="T646" s="11"/>
      <c r="U646" s="15"/>
      <c r="V646" s="11"/>
      <c r="W646" s="11"/>
      <c r="X646" s="11"/>
      <c r="Y646" s="11"/>
      <c r="Z646" s="11"/>
    </row>
    <row r="647">
      <c r="A647" s="18"/>
      <c r="B647" s="11"/>
      <c r="C647" s="11"/>
      <c r="D647" s="11"/>
      <c r="E647" s="11"/>
      <c r="F647" s="11"/>
      <c r="G647" s="11"/>
      <c r="H647" s="11"/>
      <c r="I647" s="11"/>
      <c r="J647" s="11"/>
      <c r="K647" s="11"/>
      <c r="L647" s="15"/>
      <c r="M647" s="15"/>
      <c r="N647" s="15"/>
      <c r="O647" s="15"/>
      <c r="P647" s="15"/>
      <c r="Q647" s="11"/>
      <c r="R647" s="11"/>
      <c r="S647" s="11"/>
      <c r="T647" s="11"/>
      <c r="U647" s="15"/>
      <c r="V647" s="11"/>
      <c r="W647" s="11"/>
      <c r="X647" s="11"/>
      <c r="Y647" s="11"/>
      <c r="Z647" s="11"/>
    </row>
    <row r="648">
      <c r="A648" s="18"/>
      <c r="B648" s="11"/>
      <c r="C648" s="11"/>
      <c r="D648" s="11"/>
      <c r="E648" s="11"/>
      <c r="F648" s="11"/>
      <c r="G648" s="11"/>
      <c r="H648" s="11"/>
      <c r="I648" s="11"/>
      <c r="J648" s="11"/>
      <c r="K648" s="11"/>
      <c r="L648" s="15"/>
      <c r="M648" s="15"/>
      <c r="N648" s="15"/>
      <c r="O648" s="15"/>
      <c r="P648" s="15"/>
      <c r="Q648" s="11"/>
      <c r="R648" s="11"/>
      <c r="S648" s="11"/>
      <c r="T648" s="11"/>
      <c r="U648" s="15"/>
      <c r="V648" s="11"/>
      <c r="W648" s="11"/>
      <c r="X648" s="11"/>
      <c r="Y648" s="11"/>
      <c r="Z648" s="11"/>
    </row>
    <row r="649">
      <c r="A649" s="18"/>
      <c r="B649" s="11"/>
      <c r="C649" s="11"/>
      <c r="D649" s="11"/>
      <c r="E649" s="11"/>
      <c r="F649" s="11"/>
      <c r="G649" s="11"/>
      <c r="H649" s="11"/>
      <c r="I649" s="11"/>
      <c r="J649" s="11"/>
      <c r="K649" s="11"/>
      <c r="L649" s="15"/>
      <c r="M649" s="15"/>
      <c r="N649" s="15"/>
      <c r="O649" s="15"/>
      <c r="P649" s="15"/>
      <c r="Q649" s="11"/>
      <c r="R649" s="11"/>
      <c r="S649" s="11"/>
      <c r="T649" s="11"/>
      <c r="U649" s="15"/>
      <c r="V649" s="11"/>
      <c r="W649" s="11"/>
      <c r="X649" s="11"/>
      <c r="Y649" s="11"/>
      <c r="Z649" s="11"/>
    </row>
    <row r="650">
      <c r="A650" s="18"/>
      <c r="B650" s="11"/>
      <c r="C650" s="11"/>
      <c r="D650" s="11"/>
      <c r="E650" s="11"/>
      <c r="F650" s="11"/>
      <c r="G650" s="11"/>
      <c r="H650" s="11"/>
      <c r="I650" s="11"/>
      <c r="J650" s="11"/>
      <c r="K650" s="11"/>
      <c r="L650" s="15"/>
      <c r="M650" s="15"/>
      <c r="N650" s="15"/>
      <c r="O650" s="15"/>
      <c r="P650" s="15"/>
      <c r="Q650" s="11"/>
      <c r="R650" s="11"/>
      <c r="S650" s="11"/>
      <c r="T650" s="11"/>
      <c r="U650" s="15"/>
      <c r="V650" s="11"/>
      <c r="W650" s="11"/>
      <c r="X650" s="11"/>
      <c r="Y650" s="11"/>
      <c r="Z650" s="11"/>
    </row>
    <row r="651">
      <c r="A651" s="18"/>
      <c r="B651" s="11"/>
      <c r="C651" s="11"/>
      <c r="D651" s="11"/>
      <c r="E651" s="11"/>
      <c r="F651" s="11"/>
      <c r="G651" s="11"/>
      <c r="H651" s="11"/>
      <c r="I651" s="11"/>
      <c r="J651" s="11"/>
      <c r="K651" s="11"/>
      <c r="L651" s="15"/>
      <c r="M651" s="15"/>
      <c r="N651" s="15"/>
      <c r="O651" s="15"/>
      <c r="P651" s="15"/>
      <c r="Q651" s="11"/>
      <c r="R651" s="11"/>
      <c r="S651" s="11"/>
      <c r="T651" s="11"/>
      <c r="U651" s="15"/>
      <c r="V651" s="11"/>
      <c r="W651" s="11"/>
      <c r="X651" s="11"/>
      <c r="Y651" s="11"/>
      <c r="Z651" s="11"/>
    </row>
    <row r="652">
      <c r="A652" s="18"/>
      <c r="B652" s="11"/>
      <c r="C652" s="11"/>
      <c r="D652" s="11"/>
      <c r="E652" s="11"/>
      <c r="F652" s="11"/>
      <c r="G652" s="11"/>
      <c r="H652" s="11"/>
      <c r="I652" s="11"/>
      <c r="J652" s="11"/>
      <c r="K652" s="11"/>
      <c r="L652" s="15"/>
      <c r="M652" s="15"/>
      <c r="N652" s="15"/>
      <c r="O652" s="15"/>
      <c r="P652" s="15"/>
      <c r="Q652" s="11"/>
      <c r="R652" s="11"/>
      <c r="S652" s="11"/>
      <c r="T652" s="11"/>
      <c r="U652" s="15"/>
      <c r="V652" s="11"/>
      <c r="W652" s="11"/>
      <c r="X652" s="11"/>
      <c r="Y652" s="11"/>
      <c r="Z652" s="11"/>
    </row>
    <row r="653">
      <c r="A653" s="18"/>
      <c r="B653" s="11"/>
      <c r="C653" s="11"/>
      <c r="D653" s="11"/>
      <c r="E653" s="11"/>
      <c r="F653" s="11"/>
      <c r="G653" s="11"/>
      <c r="H653" s="11"/>
      <c r="I653" s="11"/>
      <c r="J653" s="11"/>
      <c r="K653" s="11"/>
      <c r="L653" s="15"/>
      <c r="M653" s="15"/>
      <c r="N653" s="15"/>
      <c r="O653" s="15"/>
      <c r="P653" s="15"/>
      <c r="Q653" s="11"/>
      <c r="R653" s="11"/>
      <c r="S653" s="11"/>
      <c r="T653" s="11"/>
      <c r="U653" s="15"/>
      <c r="V653" s="11"/>
      <c r="W653" s="11"/>
      <c r="X653" s="11"/>
      <c r="Y653" s="11"/>
      <c r="Z653" s="11"/>
    </row>
    <row r="654">
      <c r="A654" s="18"/>
      <c r="B654" s="11"/>
      <c r="C654" s="11"/>
      <c r="D654" s="11"/>
      <c r="E654" s="11"/>
      <c r="F654" s="11"/>
      <c r="G654" s="11"/>
      <c r="H654" s="11"/>
      <c r="I654" s="11"/>
      <c r="J654" s="11"/>
      <c r="K654" s="11"/>
      <c r="L654" s="15"/>
      <c r="M654" s="15"/>
      <c r="N654" s="15"/>
      <c r="O654" s="15"/>
      <c r="P654" s="15"/>
      <c r="Q654" s="11"/>
      <c r="R654" s="11"/>
      <c r="S654" s="11"/>
      <c r="T654" s="11"/>
      <c r="U654" s="15"/>
      <c r="V654" s="11"/>
      <c r="W654" s="11"/>
      <c r="X654" s="11"/>
      <c r="Y654" s="11"/>
      <c r="Z654" s="11"/>
    </row>
    <row r="655">
      <c r="A655" s="18"/>
      <c r="B655" s="11"/>
      <c r="C655" s="11"/>
      <c r="D655" s="11"/>
      <c r="E655" s="11"/>
      <c r="F655" s="11"/>
      <c r="G655" s="11"/>
      <c r="H655" s="11"/>
      <c r="I655" s="11"/>
      <c r="J655" s="11"/>
      <c r="K655" s="11"/>
      <c r="L655" s="15"/>
      <c r="M655" s="15"/>
      <c r="N655" s="15"/>
      <c r="O655" s="15"/>
      <c r="P655" s="15"/>
      <c r="Q655" s="11"/>
      <c r="R655" s="11"/>
      <c r="S655" s="11"/>
      <c r="T655" s="11"/>
      <c r="U655" s="15"/>
      <c r="V655" s="11"/>
      <c r="W655" s="11"/>
      <c r="X655" s="11"/>
      <c r="Y655" s="11"/>
      <c r="Z655" s="11"/>
    </row>
    <row r="656">
      <c r="A656" s="18"/>
      <c r="B656" s="11"/>
      <c r="C656" s="11"/>
      <c r="D656" s="11"/>
      <c r="E656" s="11"/>
      <c r="F656" s="11"/>
      <c r="G656" s="11"/>
      <c r="H656" s="11"/>
      <c r="I656" s="11"/>
      <c r="J656" s="11"/>
      <c r="K656" s="11"/>
      <c r="L656" s="15"/>
      <c r="M656" s="15"/>
      <c r="N656" s="15"/>
      <c r="O656" s="15"/>
      <c r="P656" s="15"/>
      <c r="Q656" s="11"/>
      <c r="R656" s="11"/>
      <c r="S656" s="11"/>
      <c r="T656" s="11"/>
      <c r="U656" s="15"/>
      <c r="V656" s="11"/>
      <c r="W656" s="11"/>
      <c r="X656" s="11"/>
      <c r="Y656" s="11"/>
      <c r="Z656" s="11"/>
    </row>
    <row r="657">
      <c r="A657" s="18"/>
      <c r="B657" s="11"/>
      <c r="C657" s="11"/>
      <c r="D657" s="11"/>
      <c r="E657" s="11"/>
      <c r="F657" s="11"/>
      <c r="G657" s="11"/>
      <c r="H657" s="11"/>
      <c r="I657" s="11"/>
      <c r="J657" s="11"/>
      <c r="K657" s="11"/>
      <c r="L657" s="15"/>
      <c r="M657" s="15"/>
      <c r="N657" s="15"/>
      <c r="O657" s="15"/>
      <c r="P657" s="15"/>
      <c r="Q657" s="11"/>
      <c r="R657" s="11"/>
      <c r="S657" s="11"/>
      <c r="T657" s="11"/>
      <c r="U657" s="15"/>
      <c r="V657" s="11"/>
      <c r="W657" s="11"/>
      <c r="X657" s="11"/>
      <c r="Y657" s="11"/>
      <c r="Z657" s="11"/>
    </row>
    <row r="658">
      <c r="A658" s="18"/>
      <c r="B658" s="11"/>
      <c r="C658" s="11"/>
      <c r="D658" s="11"/>
      <c r="E658" s="11"/>
      <c r="F658" s="11"/>
      <c r="G658" s="11"/>
      <c r="H658" s="11"/>
      <c r="I658" s="11"/>
      <c r="J658" s="11"/>
      <c r="K658" s="11"/>
      <c r="L658" s="15"/>
      <c r="M658" s="15"/>
      <c r="N658" s="15"/>
      <c r="O658" s="15"/>
      <c r="P658" s="15"/>
      <c r="Q658" s="11"/>
      <c r="R658" s="11"/>
      <c r="S658" s="11"/>
      <c r="T658" s="11"/>
      <c r="U658" s="15"/>
      <c r="V658" s="11"/>
      <c r="W658" s="11"/>
      <c r="X658" s="11"/>
      <c r="Y658" s="11"/>
      <c r="Z658" s="11"/>
    </row>
    <row r="659">
      <c r="A659" s="18"/>
      <c r="B659" s="11"/>
      <c r="C659" s="11"/>
      <c r="D659" s="11"/>
      <c r="E659" s="11"/>
      <c r="F659" s="11"/>
      <c r="G659" s="11"/>
      <c r="H659" s="11"/>
      <c r="I659" s="11"/>
      <c r="J659" s="11"/>
      <c r="K659" s="11"/>
      <c r="L659" s="15"/>
      <c r="M659" s="15"/>
      <c r="N659" s="15"/>
      <c r="O659" s="15"/>
      <c r="P659" s="15"/>
      <c r="Q659" s="11"/>
      <c r="R659" s="11"/>
      <c r="S659" s="11"/>
      <c r="T659" s="11"/>
      <c r="U659" s="15"/>
      <c r="V659" s="11"/>
      <c r="W659" s="11"/>
      <c r="X659" s="11"/>
      <c r="Y659" s="11"/>
      <c r="Z659" s="11"/>
    </row>
    <row r="660">
      <c r="A660" s="18"/>
      <c r="B660" s="11"/>
      <c r="C660" s="11"/>
      <c r="D660" s="11"/>
      <c r="E660" s="11"/>
      <c r="F660" s="11"/>
      <c r="G660" s="11"/>
      <c r="H660" s="11"/>
      <c r="I660" s="11"/>
      <c r="J660" s="11"/>
      <c r="K660" s="11"/>
      <c r="L660" s="15"/>
      <c r="M660" s="15"/>
      <c r="N660" s="15"/>
      <c r="O660" s="15"/>
      <c r="P660" s="15"/>
      <c r="Q660" s="11"/>
      <c r="R660" s="11"/>
      <c r="S660" s="11"/>
      <c r="T660" s="11"/>
      <c r="U660" s="15"/>
      <c r="V660" s="11"/>
      <c r="W660" s="11"/>
      <c r="X660" s="11"/>
      <c r="Y660" s="11"/>
      <c r="Z660" s="11"/>
    </row>
    <row r="661">
      <c r="A661" s="18"/>
      <c r="B661" s="11"/>
      <c r="C661" s="11"/>
      <c r="D661" s="11"/>
      <c r="E661" s="11"/>
      <c r="F661" s="11"/>
      <c r="G661" s="11"/>
      <c r="H661" s="11"/>
      <c r="I661" s="11"/>
      <c r="J661" s="11"/>
      <c r="K661" s="11"/>
      <c r="L661" s="15"/>
      <c r="M661" s="15"/>
      <c r="N661" s="15"/>
      <c r="O661" s="15"/>
      <c r="P661" s="15"/>
      <c r="Q661" s="11"/>
      <c r="R661" s="11"/>
      <c r="S661" s="11"/>
      <c r="T661" s="11"/>
      <c r="U661" s="15"/>
      <c r="V661" s="11"/>
      <c r="W661" s="11"/>
      <c r="X661" s="11"/>
      <c r="Y661" s="11"/>
      <c r="Z661" s="11"/>
    </row>
    <row r="662">
      <c r="A662" s="18"/>
      <c r="B662" s="11"/>
      <c r="C662" s="11"/>
      <c r="D662" s="11"/>
      <c r="E662" s="11"/>
      <c r="F662" s="11"/>
      <c r="G662" s="11"/>
      <c r="H662" s="11"/>
      <c r="I662" s="11"/>
      <c r="J662" s="11"/>
      <c r="K662" s="11"/>
      <c r="L662" s="15"/>
      <c r="M662" s="15"/>
      <c r="N662" s="15"/>
      <c r="O662" s="15"/>
      <c r="P662" s="15"/>
      <c r="Q662" s="11"/>
      <c r="R662" s="11"/>
      <c r="S662" s="11"/>
      <c r="T662" s="11"/>
      <c r="U662" s="15"/>
      <c r="V662" s="11"/>
      <c r="W662" s="11"/>
      <c r="X662" s="11"/>
      <c r="Y662" s="11"/>
      <c r="Z662" s="11"/>
    </row>
    <row r="663">
      <c r="A663" s="18"/>
      <c r="B663" s="11"/>
      <c r="C663" s="11"/>
      <c r="D663" s="11"/>
      <c r="E663" s="11"/>
      <c r="F663" s="11"/>
      <c r="G663" s="11"/>
      <c r="H663" s="11"/>
      <c r="I663" s="11"/>
      <c r="J663" s="11"/>
      <c r="K663" s="11"/>
      <c r="L663" s="15"/>
      <c r="M663" s="15"/>
      <c r="N663" s="15"/>
      <c r="O663" s="15"/>
      <c r="P663" s="15"/>
      <c r="Q663" s="11"/>
      <c r="R663" s="11"/>
      <c r="S663" s="11"/>
      <c r="T663" s="11"/>
      <c r="U663" s="15"/>
      <c r="V663" s="11"/>
      <c r="W663" s="11"/>
      <c r="X663" s="11"/>
      <c r="Y663" s="11"/>
      <c r="Z663" s="11"/>
    </row>
    <row r="664">
      <c r="A664" s="18"/>
      <c r="B664" s="11"/>
      <c r="C664" s="11"/>
      <c r="D664" s="11"/>
      <c r="E664" s="11"/>
      <c r="F664" s="11"/>
      <c r="G664" s="11"/>
      <c r="H664" s="11"/>
      <c r="I664" s="11"/>
      <c r="J664" s="11"/>
      <c r="K664" s="11"/>
      <c r="L664" s="15"/>
      <c r="M664" s="15"/>
      <c r="N664" s="15"/>
      <c r="O664" s="15"/>
      <c r="P664" s="15"/>
      <c r="Q664" s="11"/>
      <c r="R664" s="11"/>
      <c r="S664" s="11"/>
      <c r="T664" s="11"/>
      <c r="U664" s="15"/>
      <c r="V664" s="11"/>
      <c r="W664" s="11"/>
      <c r="X664" s="11"/>
      <c r="Y664" s="11"/>
      <c r="Z664" s="11"/>
    </row>
    <row r="665">
      <c r="A665" s="18"/>
      <c r="B665" s="11"/>
      <c r="C665" s="11"/>
      <c r="D665" s="11"/>
      <c r="E665" s="11"/>
      <c r="F665" s="11"/>
      <c r="G665" s="11"/>
      <c r="H665" s="11"/>
      <c r="I665" s="11"/>
      <c r="J665" s="11"/>
      <c r="K665" s="11"/>
      <c r="L665" s="15"/>
      <c r="M665" s="15"/>
      <c r="N665" s="15"/>
      <c r="O665" s="15"/>
      <c r="P665" s="15"/>
      <c r="Q665" s="11"/>
      <c r="R665" s="11"/>
      <c r="S665" s="11"/>
      <c r="T665" s="11"/>
      <c r="U665" s="15"/>
      <c r="V665" s="11"/>
      <c r="W665" s="11"/>
      <c r="X665" s="11"/>
      <c r="Y665" s="11"/>
      <c r="Z665" s="11"/>
    </row>
    <row r="666">
      <c r="A666" s="18"/>
      <c r="B666" s="11"/>
      <c r="C666" s="11"/>
      <c r="D666" s="11"/>
      <c r="E666" s="11"/>
      <c r="F666" s="11"/>
      <c r="G666" s="11"/>
      <c r="H666" s="11"/>
      <c r="I666" s="11"/>
      <c r="J666" s="11"/>
      <c r="K666" s="11"/>
      <c r="L666" s="15"/>
      <c r="M666" s="15"/>
      <c r="N666" s="15"/>
      <c r="O666" s="15"/>
      <c r="P666" s="15"/>
      <c r="Q666" s="11"/>
      <c r="R666" s="11"/>
      <c r="S666" s="11"/>
      <c r="T666" s="11"/>
      <c r="U666" s="15"/>
      <c r="V666" s="11"/>
      <c r="W666" s="11"/>
      <c r="X666" s="11"/>
      <c r="Y666" s="11"/>
      <c r="Z666" s="11"/>
    </row>
    <row r="667">
      <c r="A667" s="18"/>
      <c r="B667" s="11"/>
      <c r="C667" s="11"/>
      <c r="D667" s="11"/>
      <c r="E667" s="11"/>
      <c r="F667" s="11"/>
      <c r="G667" s="11"/>
      <c r="H667" s="11"/>
      <c r="I667" s="11"/>
      <c r="J667" s="11"/>
      <c r="K667" s="11"/>
      <c r="L667" s="15"/>
      <c r="M667" s="15"/>
      <c r="N667" s="15"/>
      <c r="O667" s="15"/>
      <c r="P667" s="15"/>
      <c r="Q667" s="11"/>
      <c r="R667" s="11"/>
      <c r="S667" s="11"/>
      <c r="T667" s="11"/>
      <c r="U667" s="15"/>
      <c r="V667" s="11"/>
      <c r="W667" s="11"/>
      <c r="X667" s="11"/>
      <c r="Y667" s="11"/>
      <c r="Z667" s="11"/>
    </row>
    <row r="668">
      <c r="A668" s="18"/>
      <c r="B668" s="11"/>
      <c r="C668" s="11"/>
      <c r="D668" s="11"/>
      <c r="E668" s="11"/>
      <c r="F668" s="11"/>
      <c r="G668" s="11"/>
      <c r="H668" s="11"/>
      <c r="I668" s="11"/>
      <c r="J668" s="11"/>
      <c r="K668" s="11"/>
      <c r="L668" s="15"/>
      <c r="M668" s="15"/>
      <c r="N668" s="15"/>
      <c r="O668" s="15"/>
      <c r="P668" s="15"/>
      <c r="Q668" s="11"/>
      <c r="R668" s="11"/>
      <c r="S668" s="11"/>
      <c r="T668" s="11"/>
      <c r="U668" s="15"/>
      <c r="V668" s="11"/>
      <c r="W668" s="11"/>
      <c r="X668" s="11"/>
      <c r="Y668" s="11"/>
      <c r="Z668" s="11"/>
    </row>
    <row r="669">
      <c r="A669" s="18"/>
      <c r="B669" s="11"/>
      <c r="C669" s="11"/>
      <c r="D669" s="11"/>
      <c r="E669" s="11"/>
      <c r="F669" s="11"/>
      <c r="G669" s="11"/>
      <c r="H669" s="11"/>
      <c r="I669" s="11"/>
      <c r="J669" s="11"/>
      <c r="K669" s="11"/>
      <c r="L669" s="15"/>
      <c r="M669" s="15"/>
      <c r="N669" s="15"/>
      <c r="O669" s="15"/>
      <c r="P669" s="15"/>
      <c r="Q669" s="11"/>
      <c r="R669" s="11"/>
      <c r="S669" s="11"/>
      <c r="T669" s="11"/>
      <c r="U669" s="15"/>
      <c r="V669" s="11"/>
      <c r="W669" s="11"/>
      <c r="X669" s="11"/>
      <c r="Y669" s="11"/>
      <c r="Z669" s="11"/>
    </row>
    <row r="670">
      <c r="A670" s="18"/>
      <c r="B670" s="11"/>
      <c r="C670" s="11"/>
      <c r="D670" s="11"/>
      <c r="E670" s="11"/>
      <c r="F670" s="11"/>
      <c r="G670" s="11"/>
      <c r="H670" s="11"/>
      <c r="I670" s="11"/>
      <c r="J670" s="11"/>
      <c r="K670" s="11"/>
      <c r="L670" s="15"/>
      <c r="M670" s="15"/>
      <c r="N670" s="15"/>
      <c r="O670" s="15"/>
      <c r="P670" s="15"/>
      <c r="Q670" s="11"/>
      <c r="R670" s="11"/>
      <c r="S670" s="11"/>
      <c r="T670" s="11"/>
      <c r="U670" s="15"/>
      <c r="V670" s="11"/>
      <c r="W670" s="11"/>
      <c r="X670" s="11"/>
      <c r="Y670" s="11"/>
      <c r="Z670" s="11"/>
    </row>
    <row r="671">
      <c r="A671" s="18"/>
      <c r="B671" s="11"/>
      <c r="C671" s="11"/>
      <c r="D671" s="11"/>
      <c r="E671" s="11"/>
      <c r="F671" s="11"/>
      <c r="G671" s="11"/>
      <c r="H671" s="11"/>
      <c r="I671" s="11"/>
      <c r="J671" s="11"/>
      <c r="K671" s="11"/>
      <c r="L671" s="15"/>
      <c r="M671" s="15"/>
      <c r="N671" s="15"/>
      <c r="O671" s="15"/>
      <c r="P671" s="15"/>
      <c r="Q671" s="11"/>
      <c r="R671" s="11"/>
      <c r="S671" s="11"/>
      <c r="T671" s="11"/>
      <c r="U671" s="15"/>
      <c r="V671" s="11"/>
      <c r="W671" s="11"/>
      <c r="X671" s="11"/>
      <c r="Y671" s="11"/>
      <c r="Z671" s="11"/>
    </row>
    <row r="672">
      <c r="A672" s="18"/>
      <c r="B672" s="11"/>
      <c r="C672" s="11"/>
      <c r="D672" s="11"/>
      <c r="E672" s="11"/>
      <c r="F672" s="11"/>
      <c r="G672" s="11"/>
      <c r="H672" s="11"/>
      <c r="I672" s="11"/>
      <c r="J672" s="11"/>
      <c r="K672" s="11"/>
      <c r="L672" s="15"/>
      <c r="M672" s="15"/>
      <c r="N672" s="15"/>
      <c r="O672" s="15"/>
      <c r="P672" s="15"/>
      <c r="Q672" s="11"/>
      <c r="R672" s="11"/>
      <c r="S672" s="11"/>
      <c r="T672" s="11"/>
      <c r="U672" s="15"/>
      <c r="V672" s="11"/>
      <c r="W672" s="11"/>
      <c r="X672" s="11"/>
      <c r="Y672" s="11"/>
      <c r="Z672" s="11"/>
    </row>
    <row r="673">
      <c r="A673" s="18"/>
      <c r="B673" s="11"/>
      <c r="C673" s="11"/>
      <c r="D673" s="11"/>
      <c r="E673" s="11"/>
      <c r="F673" s="11"/>
      <c r="G673" s="11"/>
      <c r="H673" s="11"/>
      <c r="I673" s="11"/>
      <c r="J673" s="11"/>
      <c r="K673" s="11"/>
      <c r="L673" s="15"/>
      <c r="M673" s="15"/>
      <c r="N673" s="15"/>
      <c r="O673" s="15"/>
      <c r="P673" s="15"/>
      <c r="Q673" s="11"/>
      <c r="R673" s="11"/>
      <c r="S673" s="11"/>
      <c r="T673" s="11"/>
      <c r="U673" s="15"/>
      <c r="V673" s="11"/>
      <c r="W673" s="11"/>
      <c r="X673" s="11"/>
      <c r="Y673" s="11"/>
      <c r="Z673" s="11"/>
    </row>
    <row r="674">
      <c r="A674" s="18"/>
      <c r="B674" s="11"/>
      <c r="C674" s="11"/>
      <c r="D674" s="11"/>
      <c r="E674" s="11"/>
      <c r="F674" s="11"/>
      <c r="G674" s="11"/>
      <c r="H674" s="11"/>
      <c r="I674" s="11"/>
      <c r="J674" s="11"/>
      <c r="K674" s="11"/>
      <c r="L674" s="15"/>
      <c r="M674" s="15"/>
      <c r="N674" s="15"/>
      <c r="O674" s="15"/>
      <c r="P674" s="15"/>
      <c r="Q674" s="11"/>
      <c r="R674" s="11"/>
      <c r="S674" s="11"/>
      <c r="T674" s="11"/>
      <c r="U674" s="15"/>
      <c r="V674" s="11"/>
      <c r="W674" s="11"/>
      <c r="X674" s="11"/>
      <c r="Y674" s="11"/>
      <c r="Z674" s="11"/>
    </row>
    <row r="675">
      <c r="A675" s="18"/>
      <c r="B675" s="11"/>
      <c r="C675" s="11"/>
      <c r="D675" s="11"/>
      <c r="E675" s="11"/>
      <c r="F675" s="11"/>
      <c r="G675" s="11"/>
      <c r="H675" s="11"/>
      <c r="I675" s="11"/>
      <c r="J675" s="11"/>
      <c r="K675" s="11"/>
      <c r="L675" s="15"/>
      <c r="M675" s="15"/>
      <c r="N675" s="15"/>
      <c r="O675" s="15"/>
      <c r="P675" s="15"/>
      <c r="Q675" s="11"/>
      <c r="R675" s="11"/>
      <c r="S675" s="11"/>
      <c r="T675" s="11"/>
      <c r="U675" s="15"/>
      <c r="V675" s="11"/>
      <c r="W675" s="11"/>
      <c r="X675" s="11"/>
      <c r="Y675" s="11"/>
      <c r="Z675" s="11"/>
    </row>
    <row r="676">
      <c r="A676" s="18"/>
      <c r="B676" s="11"/>
      <c r="C676" s="11"/>
      <c r="D676" s="11"/>
      <c r="E676" s="11"/>
      <c r="F676" s="11"/>
      <c r="G676" s="11"/>
      <c r="H676" s="11"/>
      <c r="I676" s="11"/>
      <c r="J676" s="11"/>
      <c r="K676" s="11"/>
      <c r="L676" s="15"/>
      <c r="M676" s="15"/>
      <c r="N676" s="15"/>
      <c r="O676" s="15"/>
      <c r="P676" s="15"/>
      <c r="Q676" s="11"/>
      <c r="R676" s="11"/>
      <c r="S676" s="11"/>
      <c r="T676" s="11"/>
      <c r="U676" s="15"/>
      <c r="V676" s="11"/>
      <c r="W676" s="11"/>
      <c r="X676" s="11"/>
      <c r="Y676" s="11"/>
      <c r="Z676" s="11"/>
    </row>
    <row r="677">
      <c r="A677" s="18"/>
      <c r="B677" s="11"/>
      <c r="C677" s="11"/>
      <c r="D677" s="11"/>
      <c r="E677" s="11"/>
      <c r="F677" s="11"/>
      <c r="G677" s="11"/>
      <c r="H677" s="11"/>
      <c r="I677" s="11"/>
      <c r="J677" s="11"/>
      <c r="K677" s="11"/>
      <c r="L677" s="15"/>
      <c r="M677" s="15"/>
      <c r="N677" s="15"/>
      <c r="O677" s="15"/>
      <c r="P677" s="15"/>
      <c r="Q677" s="11"/>
      <c r="R677" s="11"/>
      <c r="S677" s="11"/>
      <c r="T677" s="11"/>
      <c r="U677" s="15"/>
      <c r="V677" s="11"/>
      <c r="W677" s="11"/>
      <c r="X677" s="11"/>
      <c r="Y677" s="11"/>
      <c r="Z677" s="11"/>
    </row>
    <row r="678">
      <c r="A678" s="18"/>
      <c r="B678" s="11"/>
      <c r="C678" s="11"/>
      <c r="D678" s="11"/>
      <c r="E678" s="11"/>
      <c r="F678" s="11"/>
      <c r="G678" s="11"/>
      <c r="H678" s="11"/>
      <c r="I678" s="11"/>
      <c r="J678" s="11"/>
      <c r="K678" s="11"/>
      <c r="L678" s="15"/>
      <c r="M678" s="15"/>
      <c r="N678" s="15"/>
      <c r="O678" s="15"/>
      <c r="P678" s="15"/>
      <c r="Q678" s="11"/>
      <c r="R678" s="11"/>
      <c r="S678" s="11"/>
      <c r="T678" s="11"/>
      <c r="U678" s="15"/>
      <c r="V678" s="11"/>
      <c r="W678" s="11"/>
      <c r="X678" s="11"/>
      <c r="Y678" s="11"/>
      <c r="Z678" s="11"/>
    </row>
    <row r="679">
      <c r="A679" s="18"/>
      <c r="B679" s="11"/>
      <c r="C679" s="11"/>
      <c r="D679" s="11"/>
      <c r="E679" s="11"/>
      <c r="F679" s="11"/>
      <c r="G679" s="11"/>
      <c r="H679" s="11"/>
      <c r="I679" s="11"/>
      <c r="J679" s="11"/>
      <c r="K679" s="11"/>
      <c r="L679" s="15"/>
      <c r="M679" s="15"/>
      <c r="N679" s="15"/>
      <c r="O679" s="15"/>
      <c r="P679" s="15"/>
      <c r="Q679" s="11"/>
      <c r="R679" s="11"/>
      <c r="S679" s="11"/>
      <c r="T679" s="11"/>
      <c r="U679" s="15"/>
      <c r="V679" s="11"/>
      <c r="W679" s="11"/>
      <c r="X679" s="11"/>
      <c r="Y679" s="11"/>
      <c r="Z679" s="11"/>
    </row>
    <row r="680">
      <c r="A680" s="18"/>
      <c r="B680" s="11"/>
      <c r="C680" s="11"/>
      <c r="D680" s="11"/>
      <c r="E680" s="11"/>
      <c r="F680" s="11"/>
      <c r="G680" s="11"/>
      <c r="H680" s="11"/>
      <c r="I680" s="11"/>
      <c r="J680" s="11"/>
      <c r="K680" s="11"/>
      <c r="L680" s="15"/>
      <c r="M680" s="15"/>
      <c r="N680" s="15"/>
      <c r="O680" s="15"/>
      <c r="P680" s="15"/>
      <c r="Q680" s="11"/>
      <c r="R680" s="11"/>
      <c r="S680" s="11"/>
      <c r="T680" s="11"/>
      <c r="U680" s="15"/>
      <c r="V680" s="11"/>
      <c r="W680" s="11"/>
      <c r="X680" s="11"/>
      <c r="Y680" s="11"/>
      <c r="Z680" s="11"/>
    </row>
    <row r="681">
      <c r="A681" s="18"/>
      <c r="B681" s="11"/>
      <c r="C681" s="11"/>
      <c r="D681" s="11"/>
      <c r="E681" s="11"/>
      <c r="F681" s="11"/>
      <c r="G681" s="11"/>
      <c r="H681" s="11"/>
      <c r="I681" s="11"/>
      <c r="J681" s="11"/>
      <c r="K681" s="11"/>
      <c r="L681" s="15"/>
      <c r="M681" s="15"/>
      <c r="N681" s="15"/>
      <c r="O681" s="15"/>
      <c r="P681" s="15"/>
      <c r="Q681" s="11"/>
      <c r="R681" s="11"/>
      <c r="S681" s="11"/>
      <c r="T681" s="11"/>
      <c r="U681" s="15"/>
      <c r="V681" s="11"/>
      <c r="W681" s="11"/>
      <c r="X681" s="11"/>
      <c r="Y681" s="11"/>
      <c r="Z681" s="11"/>
    </row>
    <row r="682">
      <c r="A682" s="18"/>
      <c r="B682" s="11"/>
      <c r="C682" s="11"/>
      <c r="D682" s="11"/>
      <c r="E682" s="11"/>
      <c r="F682" s="11"/>
      <c r="G682" s="11"/>
      <c r="H682" s="11"/>
      <c r="I682" s="11"/>
      <c r="J682" s="11"/>
      <c r="K682" s="11"/>
      <c r="L682" s="15"/>
      <c r="M682" s="15"/>
      <c r="N682" s="15"/>
      <c r="O682" s="15"/>
      <c r="P682" s="15"/>
      <c r="Q682" s="11"/>
      <c r="R682" s="11"/>
      <c r="S682" s="11"/>
      <c r="T682" s="11"/>
      <c r="U682" s="15"/>
      <c r="V682" s="11"/>
      <c r="W682" s="11"/>
      <c r="X682" s="11"/>
      <c r="Y682" s="11"/>
      <c r="Z682" s="11"/>
    </row>
    <row r="683">
      <c r="A683" s="18"/>
      <c r="B683" s="11"/>
      <c r="C683" s="11"/>
      <c r="D683" s="11"/>
      <c r="E683" s="11"/>
      <c r="F683" s="11"/>
      <c r="G683" s="11"/>
      <c r="H683" s="11"/>
      <c r="I683" s="11"/>
      <c r="J683" s="11"/>
      <c r="K683" s="11"/>
      <c r="L683" s="15"/>
      <c r="M683" s="15"/>
      <c r="N683" s="15"/>
      <c r="O683" s="15"/>
      <c r="P683" s="15"/>
      <c r="Q683" s="11"/>
      <c r="R683" s="11"/>
      <c r="S683" s="11"/>
      <c r="T683" s="11"/>
      <c r="U683" s="15"/>
      <c r="V683" s="11"/>
      <c r="W683" s="11"/>
      <c r="X683" s="11"/>
      <c r="Y683" s="11"/>
      <c r="Z683" s="11"/>
    </row>
    <row r="684">
      <c r="A684" s="18"/>
      <c r="B684" s="11"/>
      <c r="C684" s="11"/>
      <c r="D684" s="11"/>
      <c r="E684" s="11"/>
      <c r="F684" s="11"/>
      <c r="G684" s="11"/>
      <c r="H684" s="11"/>
      <c r="I684" s="11"/>
      <c r="J684" s="11"/>
      <c r="K684" s="11"/>
      <c r="L684" s="15"/>
      <c r="M684" s="15"/>
      <c r="N684" s="15"/>
      <c r="O684" s="15"/>
      <c r="P684" s="15"/>
      <c r="Q684" s="11"/>
      <c r="R684" s="11"/>
      <c r="S684" s="11"/>
      <c r="T684" s="11"/>
      <c r="U684" s="15"/>
      <c r="V684" s="11"/>
      <c r="W684" s="11"/>
      <c r="X684" s="11"/>
      <c r="Y684" s="11"/>
      <c r="Z684" s="11"/>
    </row>
    <row r="685">
      <c r="A685" s="18"/>
      <c r="B685" s="11"/>
      <c r="C685" s="11"/>
      <c r="D685" s="11"/>
      <c r="E685" s="11"/>
      <c r="F685" s="11"/>
      <c r="G685" s="11"/>
      <c r="H685" s="11"/>
      <c r="I685" s="11"/>
      <c r="J685" s="11"/>
      <c r="K685" s="11"/>
      <c r="L685" s="15"/>
      <c r="M685" s="15"/>
      <c r="N685" s="15"/>
      <c r="O685" s="15"/>
      <c r="P685" s="15"/>
      <c r="Q685" s="11"/>
      <c r="R685" s="11"/>
      <c r="S685" s="11"/>
      <c r="T685" s="11"/>
      <c r="U685" s="15"/>
      <c r="V685" s="11"/>
      <c r="W685" s="11"/>
      <c r="X685" s="11"/>
      <c r="Y685" s="11"/>
      <c r="Z685" s="11"/>
    </row>
    <row r="686">
      <c r="A686" s="18"/>
      <c r="B686" s="11"/>
      <c r="C686" s="11"/>
      <c r="D686" s="11"/>
      <c r="E686" s="11"/>
      <c r="F686" s="11"/>
      <c r="G686" s="11"/>
      <c r="H686" s="11"/>
      <c r="I686" s="11"/>
      <c r="J686" s="11"/>
      <c r="K686" s="11"/>
      <c r="L686" s="15"/>
      <c r="M686" s="15"/>
      <c r="N686" s="15"/>
      <c r="O686" s="15"/>
      <c r="P686" s="15"/>
      <c r="Q686" s="11"/>
      <c r="R686" s="11"/>
      <c r="S686" s="11"/>
      <c r="T686" s="11"/>
      <c r="U686" s="15"/>
      <c r="V686" s="11"/>
      <c r="W686" s="11"/>
      <c r="X686" s="11"/>
      <c r="Y686" s="11"/>
      <c r="Z686" s="11"/>
    </row>
    <row r="687">
      <c r="A687" s="18"/>
      <c r="B687" s="11"/>
      <c r="C687" s="11"/>
      <c r="D687" s="11"/>
      <c r="E687" s="11"/>
      <c r="F687" s="11"/>
      <c r="G687" s="11"/>
      <c r="H687" s="11"/>
      <c r="I687" s="11"/>
      <c r="J687" s="11"/>
      <c r="K687" s="11"/>
      <c r="L687" s="15"/>
      <c r="M687" s="15"/>
      <c r="N687" s="15"/>
      <c r="O687" s="15"/>
      <c r="P687" s="15"/>
      <c r="Q687" s="11"/>
      <c r="R687" s="11"/>
      <c r="S687" s="11"/>
      <c r="T687" s="11"/>
      <c r="U687" s="15"/>
      <c r="V687" s="11"/>
      <c r="W687" s="11"/>
      <c r="X687" s="11"/>
      <c r="Y687" s="11"/>
      <c r="Z687" s="11"/>
    </row>
    <row r="688">
      <c r="A688" s="18"/>
      <c r="B688" s="11"/>
      <c r="C688" s="11"/>
      <c r="D688" s="11"/>
      <c r="E688" s="11"/>
      <c r="F688" s="11"/>
      <c r="G688" s="11"/>
      <c r="H688" s="11"/>
      <c r="I688" s="11"/>
      <c r="J688" s="11"/>
      <c r="K688" s="11"/>
      <c r="L688" s="15"/>
      <c r="M688" s="15"/>
      <c r="N688" s="15"/>
      <c r="O688" s="15"/>
      <c r="P688" s="15"/>
      <c r="Q688" s="11"/>
      <c r="R688" s="11"/>
      <c r="S688" s="11"/>
      <c r="T688" s="11"/>
      <c r="U688" s="15"/>
      <c r="V688" s="11"/>
      <c r="W688" s="11"/>
      <c r="X688" s="11"/>
      <c r="Y688" s="11"/>
      <c r="Z688" s="11"/>
    </row>
    <row r="689">
      <c r="A689" s="18"/>
      <c r="B689" s="11"/>
      <c r="C689" s="11"/>
      <c r="D689" s="11"/>
      <c r="E689" s="11"/>
      <c r="F689" s="11"/>
      <c r="G689" s="11"/>
      <c r="H689" s="11"/>
      <c r="I689" s="11"/>
      <c r="J689" s="11"/>
      <c r="K689" s="11"/>
      <c r="L689" s="15"/>
      <c r="M689" s="15"/>
      <c r="N689" s="15"/>
      <c r="O689" s="15"/>
      <c r="P689" s="15"/>
      <c r="Q689" s="11"/>
      <c r="R689" s="11"/>
      <c r="S689" s="11"/>
      <c r="T689" s="11"/>
      <c r="U689" s="15"/>
      <c r="V689" s="11"/>
      <c r="W689" s="11"/>
      <c r="X689" s="11"/>
      <c r="Y689" s="11"/>
      <c r="Z689" s="11"/>
    </row>
    <row r="690">
      <c r="A690" s="18"/>
      <c r="B690" s="11"/>
      <c r="C690" s="11"/>
      <c r="D690" s="11"/>
      <c r="E690" s="11"/>
      <c r="F690" s="11"/>
      <c r="G690" s="11"/>
      <c r="H690" s="11"/>
      <c r="I690" s="11"/>
      <c r="J690" s="11"/>
      <c r="K690" s="11"/>
      <c r="L690" s="15"/>
      <c r="M690" s="15"/>
      <c r="N690" s="15"/>
      <c r="O690" s="15"/>
      <c r="P690" s="15"/>
      <c r="Q690" s="11"/>
      <c r="R690" s="11"/>
      <c r="S690" s="11"/>
      <c r="T690" s="11"/>
      <c r="U690" s="15"/>
      <c r="V690" s="11"/>
      <c r="W690" s="11"/>
      <c r="X690" s="11"/>
      <c r="Y690" s="11"/>
      <c r="Z690" s="11"/>
    </row>
    <row r="691">
      <c r="A691" s="18"/>
      <c r="B691" s="11"/>
      <c r="C691" s="11"/>
      <c r="D691" s="11"/>
      <c r="E691" s="11"/>
      <c r="F691" s="11"/>
      <c r="G691" s="11"/>
      <c r="H691" s="11"/>
      <c r="I691" s="11"/>
      <c r="J691" s="11"/>
      <c r="K691" s="11"/>
      <c r="L691" s="15"/>
      <c r="M691" s="15"/>
      <c r="N691" s="15"/>
      <c r="O691" s="15"/>
      <c r="P691" s="15"/>
      <c r="Q691" s="11"/>
      <c r="R691" s="11"/>
      <c r="S691" s="11"/>
      <c r="T691" s="11"/>
      <c r="U691" s="15"/>
      <c r="V691" s="11"/>
      <c r="W691" s="11"/>
      <c r="X691" s="11"/>
      <c r="Y691" s="11"/>
      <c r="Z691" s="11"/>
    </row>
    <row r="692">
      <c r="A692" s="18"/>
      <c r="B692" s="11"/>
      <c r="C692" s="11"/>
      <c r="D692" s="11"/>
      <c r="E692" s="11"/>
      <c r="F692" s="11"/>
      <c r="G692" s="11"/>
      <c r="H692" s="11"/>
      <c r="I692" s="11"/>
      <c r="J692" s="11"/>
      <c r="K692" s="11"/>
      <c r="L692" s="15"/>
      <c r="M692" s="15"/>
      <c r="N692" s="15"/>
      <c r="O692" s="15"/>
      <c r="P692" s="15"/>
      <c r="Q692" s="11"/>
      <c r="R692" s="11"/>
      <c r="S692" s="11"/>
      <c r="T692" s="11"/>
      <c r="U692" s="15"/>
      <c r="V692" s="11"/>
      <c r="W692" s="11"/>
      <c r="X692" s="11"/>
      <c r="Y692" s="11"/>
      <c r="Z692" s="11"/>
    </row>
    <row r="693">
      <c r="A693" s="18"/>
      <c r="B693" s="11"/>
      <c r="C693" s="11"/>
      <c r="D693" s="11"/>
      <c r="E693" s="11"/>
      <c r="F693" s="11"/>
      <c r="G693" s="11"/>
      <c r="H693" s="11"/>
      <c r="I693" s="11"/>
      <c r="J693" s="11"/>
      <c r="K693" s="11"/>
      <c r="L693" s="15"/>
      <c r="M693" s="15"/>
      <c r="N693" s="15"/>
      <c r="O693" s="15"/>
      <c r="P693" s="15"/>
      <c r="Q693" s="11"/>
      <c r="R693" s="11"/>
      <c r="S693" s="11"/>
      <c r="T693" s="11"/>
      <c r="U693" s="15"/>
      <c r="V693" s="11"/>
      <c r="W693" s="11"/>
      <c r="X693" s="11"/>
      <c r="Y693" s="11"/>
      <c r="Z693" s="11"/>
    </row>
    <row r="694">
      <c r="A694" s="18"/>
      <c r="B694" s="11"/>
      <c r="C694" s="11"/>
      <c r="D694" s="11"/>
      <c r="E694" s="11"/>
      <c r="F694" s="11"/>
      <c r="G694" s="11"/>
      <c r="H694" s="11"/>
      <c r="I694" s="11"/>
      <c r="J694" s="11"/>
      <c r="K694" s="11"/>
      <c r="L694" s="15"/>
      <c r="M694" s="15"/>
      <c r="N694" s="15"/>
      <c r="O694" s="15"/>
      <c r="P694" s="15"/>
      <c r="Q694" s="11"/>
      <c r="R694" s="11"/>
      <c r="S694" s="11"/>
      <c r="T694" s="11"/>
      <c r="U694" s="15"/>
      <c r="V694" s="11"/>
      <c r="W694" s="11"/>
      <c r="X694" s="11"/>
      <c r="Y694" s="11"/>
      <c r="Z694" s="11"/>
    </row>
    <row r="695">
      <c r="A695" s="18"/>
      <c r="B695" s="11"/>
      <c r="C695" s="11"/>
      <c r="D695" s="11"/>
      <c r="E695" s="11"/>
      <c r="F695" s="11"/>
      <c r="G695" s="11"/>
      <c r="H695" s="11"/>
      <c r="I695" s="11"/>
      <c r="J695" s="11"/>
      <c r="K695" s="11"/>
      <c r="L695" s="15"/>
      <c r="M695" s="15"/>
      <c r="N695" s="15"/>
      <c r="O695" s="15"/>
      <c r="P695" s="15"/>
      <c r="Q695" s="11"/>
      <c r="R695" s="11"/>
      <c r="S695" s="11"/>
      <c r="T695" s="11"/>
      <c r="U695" s="15"/>
      <c r="V695" s="11"/>
      <c r="W695" s="11"/>
      <c r="X695" s="11"/>
      <c r="Y695" s="11"/>
      <c r="Z695" s="11"/>
    </row>
    <row r="696">
      <c r="A696" s="18"/>
      <c r="B696" s="11"/>
      <c r="C696" s="11"/>
      <c r="D696" s="11"/>
      <c r="E696" s="11"/>
      <c r="F696" s="11"/>
      <c r="G696" s="11"/>
      <c r="H696" s="11"/>
      <c r="I696" s="11"/>
      <c r="J696" s="11"/>
      <c r="K696" s="11"/>
      <c r="L696" s="15"/>
      <c r="M696" s="15"/>
      <c r="N696" s="15"/>
      <c r="O696" s="15"/>
      <c r="P696" s="15"/>
      <c r="Q696" s="11"/>
      <c r="R696" s="11"/>
      <c r="S696" s="11"/>
      <c r="T696" s="11"/>
      <c r="U696" s="15"/>
      <c r="V696" s="11"/>
      <c r="W696" s="11"/>
      <c r="X696" s="11"/>
      <c r="Y696" s="11"/>
      <c r="Z696" s="11"/>
    </row>
    <row r="697">
      <c r="A697" s="18"/>
      <c r="B697" s="11"/>
      <c r="C697" s="11"/>
      <c r="D697" s="11"/>
      <c r="E697" s="11"/>
      <c r="F697" s="11"/>
      <c r="G697" s="11"/>
      <c r="H697" s="11"/>
      <c r="I697" s="11"/>
      <c r="J697" s="11"/>
      <c r="K697" s="11"/>
      <c r="L697" s="15"/>
      <c r="M697" s="15"/>
      <c r="N697" s="15"/>
      <c r="O697" s="15"/>
      <c r="P697" s="15"/>
      <c r="Q697" s="11"/>
      <c r="R697" s="11"/>
      <c r="S697" s="11"/>
      <c r="T697" s="11"/>
      <c r="U697" s="15"/>
      <c r="V697" s="11"/>
      <c r="W697" s="11"/>
      <c r="X697" s="11"/>
      <c r="Y697" s="11"/>
      <c r="Z697" s="11"/>
    </row>
    <row r="698">
      <c r="A698" s="18"/>
      <c r="B698" s="11"/>
      <c r="C698" s="11"/>
      <c r="D698" s="11"/>
      <c r="E698" s="11"/>
      <c r="F698" s="11"/>
      <c r="G698" s="11"/>
      <c r="H698" s="11"/>
      <c r="I698" s="11"/>
      <c r="J698" s="11"/>
      <c r="K698" s="11"/>
      <c r="L698" s="15"/>
      <c r="M698" s="15"/>
      <c r="N698" s="15"/>
      <c r="O698" s="15"/>
      <c r="P698" s="15"/>
      <c r="Q698" s="11"/>
      <c r="R698" s="11"/>
      <c r="S698" s="11"/>
      <c r="T698" s="11"/>
      <c r="U698" s="15"/>
      <c r="V698" s="11"/>
      <c r="W698" s="11"/>
      <c r="X698" s="11"/>
      <c r="Y698" s="11"/>
      <c r="Z698" s="11"/>
    </row>
    <row r="699">
      <c r="A699" s="18"/>
      <c r="B699" s="11"/>
      <c r="C699" s="11"/>
      <c r="D699" s="11"/>
      <c r="E699" s="11"/>
      <c r="F699" s="11"/>
      <c r="G699" s="11"/>
      <c r="H699" s="11"/>
      <c r="I699" s="11"/>
      <c r="J699" s="11"/>
      <c r="K699" s="11"/>
      <c r="L699" s="15"/>
      <c r="M699" s="15"/>
      <c r="N699" s="15"/>
      <c r="O699" s="15"/>
      <c r="P699" s="15"/>
      <c r="Q699" s="11"/>
      <c r="R699" s="11"/>
      <c r="S699" s="11"/>
      <c r="T699" s="11"/>
      <c r="U699" s="15"/>
      <c r="V699" s="11"/>
      <c r="W699" s="11"/>
      <c r="X699" s="11"/>
      <c r="Y699" s="11"/>
      <c r="Z699" s="11"/>
    </row>
    <row r="700">
      <c r="A700" s="18"/>
      <c r="B700" s="11"/>
      <c r="C700" s="11"/>
      <c r="D700" s="11"/>
      <c r="E700" s="11"/>
      <c r="F700" s="11"/>
      <c r="G700" s="11"/>
      <c r="H700" s="11"/>
      <c r="I700" s="11"/>
      <c r="J700" s="11"/>
      <c r="K700" s="11"/>
      <c r="L700" s="15"/>
      <c r="M700" s="15"/>
      <c r="N700" s="15"/>
      <c r="O700" s="15"/>
      <c r="P700" s="15"/>
      <c r="Q700" s="11"/>
      <c r="R700" s="11"/>
      <c r="S700" s="11"/>
      <c r="T700" s="11"/>
      <c r="U700" s="15"/>
      <c r="V700" s="11"/>
      <c r="W700" s="11"/>
      <c r="X700" s="11"/>
      <c r="Y700" s="11"/>
      <c r="Z700" s="11"/>
    </row>
    <row r="701">
      <c r="A701" s="18"/>
      <c r="B701" s="11"/>
      <c r="C701" s="11"/>
      <c r="D701" s="11"/>
      <c r="E701" s="11"/>
      <c r="F701" s="11"/>
      <c r="G701" s="11"/>
      <c r="H701" s="11"/>
      <c r="I701" s="11"/>
      <c r="J701" s="11"/>
      <c r="K701" s="11"/>
      <c r="L701" s="15"/>
      <c r="M701" s="15"/>
      <c r="N701" s="15"/>
      <c r="O701" s="15"/>
      <c r="P701" s="15"/>
      <c r="Q701" s="11"/>
      <c r="R701" s="11"/>
      <c r="S701" s="11"/>
      <c r="T701" s="11"/>
      <c r="U701" s="15"/>
      <c r="V701" s="11"/>
      <c r="W701" s="11"/>
      <c r="X701" s="11"/>
      <c r="Y701" s="11"/>
      <c r="Z701" s="11"/>
    </row>
    <row r="702">
      <c r="A702" s="18"/>
      <c r="B702" s="11"/>
      <c r="C702" s="11"/>
      <c r="D702" s="11"/>
      <c r="E702" s="11"/>
      <c r="F702" s="11"/>
      <c r="G702" s="11"/>
      <c r="H702" s="11"/>
      <c r="I702" s="11"/>
      <c r="J702" s="11"/>
      <c r="K702" s="11"/>
      <c r="L702" s="15"/>
      <c r="M702" s="15"/>
      <c r="N702" s="15"/>
      <c r="O702" s="15"/>
      <c r="P702" s="15"/>
      <c r="Q702" s="11"/>
      <c r="R702" s="11"/>
      <c r="S702" s="11"/>
      <c r="T702" s="11"/>
      <c r="U702" s="15"/>
      <c r="V702" s="11"/>
      <c r="W702" s="11"/>
      <c r="X702" s="11"/>
      <c r="Y702" s="11"/>
      <c r="Z702" s="11"/>
    </row>
    <row r="703">
      <c r="A703" s="18"/>
      <c r="B703" s="11"/>
      <c r="C703" s="11"/>
      <c r="D703" s="11"/>
      <c r="E703" s="11"/>
      <c r="F703" s="11"/>
      <c r="G703" s="11"/>
      <c r="H703" s="11"/>
      <c r="I703" s="11"/>
      <c r="J703" s="11"/>
      <c r="K703" s="11"/>
      <c r="L703" s="15"/>
      <c r="M703" s="15"/>
      <c r="N703" s="15"/>
      <c r="O703" s="15"/>
      <c r="P703" s="15"/>
      <c r="Q703" s="11"/>
      <c r="R703" s="11"/>
      <c r="S703" s="11"/>
      <c r="T703" s="11"/>
      <c r="U703" s="15"/>
      <c r="V703" s="11"/>
      <c r="W703" s="11"/>
      <c r="X703" s="11"/>
      <c r="Y703" s="11"/>
      <c r="Z703" s="11"/>
    </row>
    <row r="704">
      <c r="A704" s="18"/>
      <c r="B704" s="11"/>
      <c r="C704" s="11"/>
      <c r="D704" s="11"/>
      <c r="E704" s="11"/>
      <c r="F704" s="11"/>
      <c r="G704" s="11"/>
      <c r="H704" s="11"/>
      <c r="I704" s="11"/>
      <c r="J704" s="11"/>
      <c r="K704" s="11"/>
      <c r="L704" s="15"/>
      <c r="M704" s="15"/>
      <c r="N704" s="15"/>
      <c r="O704" s="15"/>
      <c r="P704" s="15"/>
      <c r="Q704" s="11"/>
      <c r="R704" s="11"/>
      <c r="S704" s="11"/>
      <c r="T704" s="11"/>
      <c r="U704" s="15"/>
      <c r="V704" s="11"/>
      <c r="W704" s="11"/>
      <c r="X704" s="11"/>
      <c r="Y704" s="11"/>
      <c r="Z704" s="11"/>
    </row>
    <row r="705">
      <c r="A705" s="18"/>
      <c r="B705" s="11"/>
      <c r="C705" s="11"/>
      <c r="D705" s="11"/>
      <c r="E705" s="11"/>
      <c r="F705" s="11"/>
      <c r="G705" s="11"/>
      <c r="H705" s="11"/>
      <c r="I705" s="11"/>
      <c r="J705" s="11"/>
      <c r="K705" s="11"/>
      <c r="L705" s="15"/>
      <c r="M705" s="15"/>
      <c r="N705" s="15"/>
      <c r="O705" s="15"/>
      <c r="P705" s="15"/>
      <c r="Q705" s="11"/>
      <c r="R705" s="11"/>
      <c r="S705" s="11"/>
      <c r="T705" s="11"/>
      <c r="U705" s="15"/>
      <c r="V705" s="11"/>
      <c r="W705" s="11"/>
      <c r="X705" s="11"/>
      <c r="Y705" s="11"/>
      <c r="Z705" s="11"/>
    </row>
    <row r="706">
      <c r="A706" s="18"/>
      <c r="B706" s="11"/>
      <c r="C706" s="11"/>
      <c r="D706" s="11"/>
      <c r="E706" s="11"/>
      <c r="F706" s="11"/>
      <c r="G706" s="11"/>
      <c r="H706" s="11"/>
      <c r="I706" s="11"/>
      <c r="J706" s="11"/>
      <c r="K706" s="11"/>
      <c r="L706" s="15"/>
      <c r="M706" s="15"/>
      <c r="N706" s="15"/>
      <c r="O706" s="15"/>
      <c r="P706" s="15"/>
      <c r="Q706" s="11"/>
      <c r="R706" s="11"/>
      <c r="S706" s="11"/>
      <c r="T706" s="11"/>
      <c r="U706" s="15"/>
      <c r="V706" s="11"/>
      <c r="W706" s="11"/>
      <c r="X706" s="11"/>
      <c r="Y706" s="11"/>
      <c r="Z706" s="11"/>
    </row>
    <row r="707">
      <c r="A707" s="18"/>
      <c r="B707" s="11"/>
      <c r="C707" s="11"/>
      <c r="D707" s="11"/>
      <c r="E707" s="11"/>
      <c r="F707" s="11"/>
      <c r="G707" s="11"/>
      <c r="H707" s="11"/>
      <c r="I707" s="11"/>
      <c r="J707" s="11"/>
      <c r="K707" s="11"/>
      <c r="L707" s="15"/>
      <c r="M707" s="15"/>
      <c r="N707" s="15"/>
      <c r="O707" s="15"/>
      <c r="P707" s="15"/>
      <c r="Q707" s="11"/>
      <c r="R707" s="11"/>
      <c r="S707" s="11"/>
      <c r="T707" s="11"/>
      <c r="U707" s="15"/>
      <c r="V707" s="11"/>
      <c r="W707" s="11"/>
      <c r="X707" s="11"/>
      <c r="Y707" s="11"/>
      <c r="Z707" s="11"/>
    </row>
    <row r="708">
      <c r="A708" s="18"/>
      <c r="B708" s="11"/>
      <c r="C708" s="11"/>
      <c r="D708" s="11"/>
      <c r="E708" s="11"/>
      <c r="F708" s="11"/>
      <c r="G708" s="11"/>
      <c r="H708" s="11"/>
      <c r="I708" s="11"/>
      <c r="J708" s="11"/>
      <c r="K708" s="11"/>
      <c r="L708" s="15"/>
      <c r="M708" s="15"/>
      <c r="N708" s="15"/>
      <c r="O708" s="15"/>
      <c r="P708" s="15"/>
      <c r="Q708" s="11"/>
      <c r="R708" s="11"/>
      <c r="S708" s="11"/>
      <c r="T708" s="11"/>
      <c r="U708" s="15"/>
      <c r="V708" s="11"/>
      <c r="W708" s="11"/>
      <c r="X708" s="11"/>
      <c r="Y708" s="11"/>
      <c r="Z708" s="11"/>
    </row>
    <row r="709">
      <c r="A709" s="18"/>
      <c r="B709" s="11"/>
      <c r="C709" s="11"/>
      <c r="D709" s="11"/>
      <c r="E709" s="11"/>
      <c r="F709" s="11"/>
      <c r="G709" s="11"/>
      <c r="H709" s="11"/>
      <c r="I709" s="11"/>
      <c r="J709" s="11"/>
      <c r="K709" s="11"/>
      <c r="L709" s="15"/>
      <c r="M709" s="15"/>
      <c r="N709" s="15"/>
      <c r="O709" s="15"/>
      <c r="P709" s="15"/>
      <c r="Q709" s="11"/>
      <c r="R709" s="11"/>
      <c r="S709" s="11"/>
      <c r="T709" s="11"/>
      <c r="U709" s="15"/>
      <c r="V709" s="11"/>
      <c r="W709" s="11"/>
      <c r="X709" s="11"/>
      <c r="Y709" s="11"/>
      <c r="Z709" s="11"/>
    </row>
    <row r="710">
      <c r="A710" s="18"/>
      <c r="B710" s="11"/>
      <c r="C710" s="11"/>
      <c r="D710" s="11"/>
      <c r="E710" s="11"/>
      <c r="F710" s="11"/>
      <c r="G710" s="11"/>
      <c r="H710" s="11"/>
      <c r="I710" s="11"/>
      <c r="J710" s="11"/>
      <c r="K710" s="11"/>
      <c r="L710" s="15"/>
      <c r="M710" s="15"/>
      <c r="N710" s="15"/>
      <c r="O710" s="15"/>
      <c r="P710" s="15"/>
      <c r="Q710" s="11"/>
      <c r="R710" s="11"/>
      <c r="S710" s="11"/>
      <c r="T710" s="11"/>
      <c r="U710" s="15"/>
      <c r="V710" s="11"/>
      <c r="W710" s="11"/>
      <c r="X710" s="11"/>
      <c r="Y710" s="11"/>
      <c r="Z710" s="11"/>
    </row>
    <row r="711">
      <c r="A711" s="18"/>
      <c r="B711" s="11"/>
      <c r="C711" s="11"/>
      <c r="D711" s="11"/>
      <c r="E711" s="11"/>
      <c r="F711" s="11"/>
      <c r="G711" s="11"/>
      <c r="H711" s="11"/>
      <c r="I711" s="11"/>
      <c r="J711" s="11"/>
      <c r="K711" s="11"/>
      <c r="L711" s="15"/>
      <c r="M711" s="15"/>
      <c r="N711" s="15"/>
      <c r="O711" s="15"/>
      <c r="P711" s="15"/>
      <c r="Q711" s="11"/>
      <c r="R711" s="11"/>
      <c r="S711" s="11"/>
      <c r="T711" s="11"/>
      <c r="U711" s="15"/>
      <c r="V711" s="11"/>
      <c r="W711" s="11"/>
      <c r="X711" s="11"/>
      <c r="Y711" s="11"/>
      <c r="Z711" s="11"/>
    </row>
    <row r="712">
      <c r="A712" s="18"/>
      <c r="B712" s="11"/>
      <c r="C712" s="11"/>
      <c r="D712" s="11"/>
      <c r="E712" s="11"/>
      <c r="F712" s="11"/>
      <c r="G712" s="11"/>
      <c r="H712" s="11"/>
      <c r="I712" s="11"/>
      <c r="J712" s="11"/>
      <c r="K712" s="11"/>
      <c r="L712" s="15"/>
      <c r="M712" s="15"/>
      <c r="N712" s="15"/>
      <c r="O712" s="15"/>
      <c r="P712" s="15"/>
      <c r="Q712" s="11"/>
      <c r="R712" s="11"/>
      <c r="S712" s="11"/>
      <c r="T712" s="11"/>
      <c r="U712" s="15"/>
      <c r="V712" s="11"/>
      <c r="W712" s="11"/>
      <c r="X712" s="11"/>
      <c r="Y712" s="11"/>
      <c r="Z712" s="11"/>
    </row>
    <row r="713">
      <c r="A713" s="18"/>
      <c r="B713" s="11"/>
      <c r="C713" s="11"/>
      <c r="D713" s="11"/>
      <c r="E713" s="11"/>
      <c r="F713" s="11"/>
      <c r="G713" s="11"/>
      <c r="H713" s="11"/>
      <c r="I713" s="11"/>
      <c r="J713" s="11"/>
      <c r="K713" s="11"/>
      <c r="L713" s="15"/>
      <c r="M713" s="15"/>
      <c r="N713" s="15"/>
      <c r="O713" s="15"/>
      <c r="P713" s="15"/>
      <c r="Q713" s="11"/>
      <c r="R713" s="11"/>
      <c r="S713" s="11"/>
      <c r="T713" s="11"/>
      <c r="U713" s="15"/>
      <c r="V713" s="11"/>
      <c r="W713" s="11"/>
      <c r="X713" s="11"/>
      <c r="Y713" s="11"/>
      <c r="Z713" s="11"/>
    </row>
    <row r="714">
      <c r="A714" s="18"/>
      <c r="B714" s="11"/>
      <c r="C714" s="11"/>
      <c r="D714" s="11"/>
      <c r="E714" s="11"/>
      <c r="F714" s="11"/>
      <c r="G714" s="11"/>
      <c r="H714" s="11"/>
      <c r="I714" s="11"/>
      <c r="J714" s="11"/>
      <c r="K714" s="11"/>
      <c r="L714" s="15"/>
      <c r="M714" s="15"/>
      <c r="N714" s="15"/>
      <c r="O714" s="15"/>
      <c r="P714" s="15"/>
      <c r="Q714" s="11"/>
      <c r="R714" s="11"/>
      <c r="S714" s="11"/>
      <c r="T714" s="11"/>
      <c r="U714" s="15"/>
      <c r="V714" s="11"/>
      <c r="W714" s="11"/>
      <c r="X714" s="11"/>
      <c r="Y714" s="11"/>
      <c r="Z714" s="11"/>
    </row>
    <row r="715">
      <c r="A715" s="18"/>
      <c r="B715" s="11"/>
      <c r="C715" s="11"/>
      <c r="D715" s="11"/>
      <c r="E715" s="11"/>
      <c r="F715" s="11"/>
      <c r="G715" s="11"/>
      <c r="H715" s="11"/>
      <c r="I715" s="11"/>
      <c r="J715" s="11"/>
      <c r="K715" s="11"/>
      <c r="L715" s="15"/>
      <c r="M715" s="15"/>
      <c r="N715" s="15"/>
      <c r="O715" s="15"/>
      <c r="P715" s="15"/>
      <c r="Q715" s="11"/>
      <c r="R715" s="11"/>
      <c r="S715" s="11"/>
      <c r="T715" s="11"/>
      <c r="U715" s="15"/>
      <c r="V715" s="11"/>
      <c r="W715" s="11"/>
      <c r="X715" s="11"/>
      <c r="Y715" s="11"/>
      <c r="Z715" s="11"/>
    </row>
    <row r="716">
      <c r="A716" s="18"/>
      <c r="B716" s="11"/>
      <c r="C716" s="11"/>
      <c r="D716" s="11"/>
      <c r="E716" s="11"/>
      <c r="F716" s="11"/>
      <c r="G716" s="11"/>
      <c r="H716" s="11"/>
      <c r="I716" s="11"/>
      <c r="J716" s="11"/>
      <c r="K716" s="11"/>
      <c r="L716" s="15"/>
      <c r="M716" s="15"/>
      <c r="N716" s="15"/>
      <c r="O716" s="15"/>
      <c r="P716" s="15"/>
      <c r="Q716" s="11"/>
      <c r="R716" s="11"/>
      <c r="S716" s="11"/>
      <c r="T716" s="11"/>
      <c r="U716" s="15"/>
      <c r="V716" s="11"/>
      <c r="W716" s="11"/>
      <c r="X716" s="11"/>
      <c r="Y716" s="11"/>
      <c r="Z716" s="11"/>
    </row>
    <row r="717">
      <c r="A717" s="18"/>
      <c r="B717" s="11"/>
      <c r="C717" s="11"/>
      <c r="D717" s="11"/>
      <c r="E717" s="11"/>
      <c r="F717" s="11"/>
      <c r="G717" s="11"/>
      <c r="H717" s="11"/>
      <c r="I717" s="11"/>
      <c r="J717" s="11"/>
      <c r="K717" s="11"/>
      <c r="L717" s="15"/>
      <c r="M717" s="15"/>
      <c r="N717" s="15"/>
      <c r="O717" s="15"/>
      <c r="P717" s="15"/>
      <c r="Q717" s="11"/>
      <c r="R717" s="11"/>
      <c r="S717" s="11"/>
      <c r="T717" s="11"/>
      <c r="U717" s="15"/>
      <c r="V717" s="11"/>
      <c r="W717" s="11"/>
      <c r="X717" s="11"/>
      <c r="Y717" s="11"/>
      <c r="Z717" s="11"/>
    </row>
    <row r="718">
      <c r="A718" s="18"/>
      <c r="B718" s="11"/>
      <c r="C718" s="11"/>
      <c r="D718" s="11"/>
      <c r="E718" s="11"/>
      <c r="F718" s="11"/>
      <c r="G718" s="11"/>
      <c r="H718" s="11"/>
      <c r="I718" s="11"/>
      <c r="J718" s="11"/>
      <c r="K718" s="11"/>
      <c r="L718" s="15"/>
      <c r="M718" s="15"/>
      <c r="N718" s="15"/>
      <c r="O718" s="15"/>
      <c r="P718" s="15"/>
      <c r="Q718" s="11"/>
      <c r="R718" s="11"/>
      <c r="S718" s="11"/>
      <c r="T718" s="11"/>
      <c r="U718" s="15"/>
      <c r="V718" s="11"/>
      <c r="W718" s="11"/>
      <c r="X718" s="11"/>
      <c r="Y718" s="11"/>
      <c r="Z718" s="11"/>
    </row>
    <row r="719">
      <c r="A719" s="18"/>
      <c r="B719" s="11"/>
      <c r="C719" s="11"/>
      <c r="D719" s="11"/>
      <c r="E719" s="11"/>
      <c r="F719" s="11"/>
      <c r="G719" s="11"/>
      <c r="H719" s="11"/>
      <c r="I719" s="11"/>
      <c r="J719" s="11"/>
      <c r="K719" s="11"/>
      <c r="L719" s="15"/>
      <c r="M719" s="15"/>
      <c r="N719" s="15"/>
      <c r="O719" s="15"/>
      <c r="P719" s="15"/>
      <c r="Q719" s="11"/>
      <c r="R719" s="11"/>
      <c r="S719" s="11"/>
      <c r="T719" s="11"/>
      <c r="U719" s="15"/>
      <c r="V719" s="11"/>
      <c r="W719" s="11"/>
      <c r="X719" s="11"/>
      <c r="Y719" s="11"/>
      <c r="Z719" s="11"/>
    </row>
    <row r="720">
      <c r="A720" s="18"/>
      <c r="B720" s="11"/>
      <c r="C720" s="11"/>
      <c r="D720" s="11"/>
      <c r="E720" s="11"/>
      <c r="F720" s="11"/>
      <c r="G720" s="11"/>
      <c r="H720" s="11"/>
      <c r="I720" s="11"/>
      <c r="J720" s="11"/>
      <c r="K720" s="11"/>
      <c r="L720" s="15"/>
      <c r="M720" s="15"/>
      <c r="N720" s="15"/>
      <c r="O720" s="15"/>
      <c r="P720" s="15"/>
      <c r="Q720" s="11"/>
      <c r="R720" s="11"/>
      <c r="S720" s="11"/>
      <c r="T720" s="11"/>
      <c r="U720" s="15"/>
      <c r="V720" s="11"/>
      <c r="W720" s="11"/>
      <c r="X720" s="11"/>
      <c r="Y720" s="11"/>
      <c r="Z720" s="11"/>
    </row>
    <row r="721">
      <c r="A721" s="18"/>
      <c r="B721" s="11"/>
      <c r="C721" s="11"/>
      <c r="D721" s="11"/>
      <c r="E721" s="11"/>
      <c r="F721" s="11"/>
      <c r="G721" s="11"/>
      <c r="H721" s="11"/>
      <c r="I721" s="11"/>
      <c r="J721" s="11"/>
      <c r="K721" s="11"/>
      <c r="L721" s="15"/>
      <c r="M721" s="15"/>
      <c r="N721" s="15"/>
      <c r="O721" s="15"/>
      <c r="P721" s="15"/>
      <c r="Q721" s="11"/>
      <c r="R721" s="11"/>
      <c r="S721" s="11"/>
      <c r="T721" s="11"/>
      <c r="U721" s="15"/>
      <c r="V721" s="11"/>
      <c r="W721" s="11"/>
      <c r="X721" s="11"/>
      <c r="Y721" s="11"/>
      <c r="Z721" s="11"/>
    </row>
    <row r="722">
      <c r="A722" s="18"/>
      <c r="B722" s="11"/>
      <c r="C722" s="11"/>
      <c r="D722" s="11"/>
      <c r="E722" s="11"/>
      <c r="F722" s="11"/>
      <c r="G722" s="11"/>
      <c r="H722" s="11"/>
      <c r="I722" s="11"/>
      <c r="J722" s="11"/>
      <c r="K722" s="11"/>
      <c r="L722" s="15"/>
      <c r="M722" s="15"/>
      <c r="N722" s="15"/>
      <c r="O722" s="15"/>
      <c r="P722" s="15"/>
      <c r="Q722" s="11"/>
      <c r="R722" s="11"/>
      <c r="S722" s="11"/>
      <c r="T722" s="11"/>
      <c r="U722" s="15"/>
      <c r="V722" s="11"/>
      <c r="W722" s="11"/>
      <c r="X722" s="11"/>
      <c r="Y722" s="11"/>
      <c r="Z722" s="11"/>
    </row>
    <row r="723">
      <c r="A723" s="18"/>
      <c r="B723" s="11"/>
      <c r="C723" s="11"/>
      <c r="D723" s="11"/>
      <c r="E723" s="11"/>
      <c r="F723" s="11"/>
      <c r="G723" s="11"/>
      <c r="H723" s="11"/>
      <c r="I723" s="11"/>
      <c r="J723" s="11"/>
      <c r="K723" s="11"/>
      <c r="L723" s="15"/>
      <c r="M723" s="15"/>
      <c r="N723" s="15"/>
      <c r="O723" s="15"/>
      <c r="P723" s="15"/>
      <c r="Q723" s="11"/>
      <c r="R723" s="11"/>
      <c r="S723" s="11"/>
      <c r="T723" s="11"/>
      <c r="U723" s="15"/>
      <c r="V723" s="11"/>
      <c r="W723" s="11"/>
      <c r="X723" s="11"/>
      <c r="Y723" s="11"/>
      <c r="Z723" s="11"/>
    </row>
    <row r="724">
      <c r="A724" s="18"/>
      <c r="B724" s="11"/>
      <c r="C724" s="11"/>
      <c r="D724" s="11"/>
      <c r="E724" s="11"/>
      <c r="F724" s="11"/>
      <c r="G724" s="11"/>
      <c r="H724" s="11"/>
      <c r="I724" s="11"/>
      <c r="J724" s="11"/>
      <c r="K724" s="11"/>
      <c r="L724" s="15"/>
      <c r="M724" s="15"/>
      <c r="N724" s="15"/>
      <c r="O724" s="15"/>
      <c r="P724" s="15"/>
      <c r="Q724" s="11"/>
      <c r="R724" s="11"/>
      <c r="S724" s="11"/>
      <c r="T724" s="11"/>
      <c r="U724" s="15"/>
      <c r="V724" s="11"/>
      <c r="W724" s="11"/>
      <c r="X724" s="11"/>
      <c r="Y724" s="11"/>
      <c r="Z724" s="11"/>
    </row>
    <row r="725">
      <c r="A725" s="18"/>
      <c r="B725" s="11"/>
      <c r="C725" s="11"/>
      <c r="D725" s="11"/>
      <c r="E725" s="11"/>
      <c r="F725" s="11"/>
      <c r="G725" s="11"/>
      <c r="H725" s="11"/>
      <c r="I725" s="11"/>
      <c r="J725" s="11"/>
      <c r="K725" s="11"/>
      <c r="L725" s="15"/>
      <c r="M725" s="15"/>
      <c r="N725" s="15"/>
      <c r="O725" s="15"/>
      <c r="P725" s="15"/>
      <c r="Q725" s="11"/>
      <c r="R725" s="11"/>
      <c r="S725" s="11"/>
      <c r="T725" s="11"/>
      <c r="U725" s="15"/>
      <c r="V725" s="11"/>
      <c r="W725" s="11"/>
      <c r="X725" s="11"/>
      <c r="Y725" s="11"/>
      <c r="Z725" s="11"/>
    </row>
    <row r="726">
      <c r="A726" s="18"/>
      <c r="B726" s="11"/>
      <c r="C726" s="11"/>
      <c r="D726" s="11"/>
      <c r="E726" s="11"/>
      <c r="F726" s="11"/>
      <c r="G726" s="11"/>
      <c r="H726" s="11"/>
      <c r="I726" s="11"/>
      <c r="J726" s="11"/>
      <c r="K726" s="11"/>
      <c r="L726" s="15"/>
      <c r="M726" s="15"/>
      <c r="N726" s="15"/>
      <c r="O726" s="15"/>
      <c r="P726" s="15"/>
      <c r="Q726" s="11"/>
      <c r="R726" s="11"/>
      <c r="S726" s="11"/>
      <c r="T726" s="11"/>
      <c r="U726" s="15"/>
      <c r="V726" s="11"/>
      <c r="W726" s="11"/>
      <c r="X726" s="11"/>
      <c r="Y726" s="11"/>
      <c r="Z726" s="11"/>
    </row>
    <row r="727">
      <c r="A727" s="18"/>
      <c r="B727" s="11"/>
      <c r="C727" s="11"/>
      <c r="D727" s="11"/>
      <c r="E727" s="11"/>
      <c r="F727" s="11"/>
      <c r="G727" s="11"/>
      <c r="H727" s="11"/>
      <c r="I727" s="11"/>
      <c r="J727" s="11"/>
      <c r="K727" s="11"/>
      <c r="L727" s="15"/>
      <c r="M727" s="15"/>
      <c r="N727" s="15"/>
      <c r="O727" s="15"/>
      <c r="P727" s="15"/>
      <c r="Q727" s="11"/>
      <c r="R727" s="11"/>
      <c r="S727" s="11"/>
      <c r="T727" s="11"/>
      <c r="U727" s="15"/>
      <c r="V727" s="11"/>
      <c r="W727" s="11"/>
      <c r="X727" s="11"/>
      <c r="Y727" s="11"/>
      <c r="Z727" s="11"/>
    </row>
    <row r="728">
      <c r="A728" s="18"/>
      <c r="B728" s="11"/>
      <c r="C728" s="11"/>
      <c r="D728" s="11"/>
      <c r="E728" s="11"/>
      <c r="F728" s="11"/>
      <c r="G728" s="11"/>
      <c r="H728" s="11"/>
      <c r="I728" s="11"/>
      <c r="J728" s="11"/>
      <c r="K728" s="11"/>
      <c r="L728" s="15"/>
      <c r="M728" s="15"/>
      <c r="N728" s="15"/>
      <c r="O728" s="15"/>
      <c r="P728" s="15"/>
      <c r="Q728" s="11"/>
      <c r="R728" s="11"/>
      <c r="S728" s="11"/>
      <c r="T728" s="11"/>
      <c r="U728" s="15"/>
      <c r="V728" s="11"/>
      <c r="W728" s="11"/>
      <c r="X728" s="11"/>
      <c r="Y728" s="11"/>
      <c r="Z728" s="11"/>
    </row>
    <row r="729">
      <c r="A729" s="18"/>
      <c r="B729" s="11"/>
      <c r="C729" s="11"/>
      <c r="D729" s="11"/>
      <c r="E729" s="11"/>
      <c r="F729" s="11"/>
      <c r="G729" s="11"/>
      <c r="H729" s="11"/>
      <c r="I729" s="11"/>
      <c r="J729" s="11"/>
      <c r="K729" s="11"/>
      <c r="L729" s="15"/>
      <c r="M729" s="15"/>
      <c r="N729" s="15"/>
      <c r="O729" s="15"/>
      <c r="P729" s="15"/>
      <c r="Q729" s="11"/>
      <c r="R729" s="11"/>
      <c r="S729" s="11"/>
      <c r="T729" s="11"/>
      <c r="U729" s="15"/>
      <c r="V729" s="11"/>
      <c r="W729" s="11"/>
      <c r="X729" s="11"/>
      <c r="Y729" s="11"/>
      <c r="Z729" s="11"/>
    </row>
    <row r="730">
      <c r="A730" s="18"/>
      <c r="B730" s="11"/>
      <c r="C730" s="11"/>
      <c r="D730" s="11"/>
      <c r="E730" s="11"/>
      <c r="F730" s="11"/>
      <c r="G730" s="11"/>
      <c r="H730" s="11"/>
      <c r="I730" s="11"/>
      <c r="J730" s="11"/>
      <c r="K730" s="11"/>
      <c r="L730" s="15"/>
      <c r="M730" s="15"/>
      <c r="N730" s="15"/>
      <c r="O730" s="15"/>
      <c r="P730" s="15"/>
      <c r="Q730" s="11"/>
      <c r="R730" s="11"/>
      <c r="S730" s="11"/>
      <c r="T730" s="11"/>
      <c r="U730" s="15"/>
      <c r="V730" s="11"/>
      <c r="W730" s="11"/>
      <c r="X730" s="11"/>
      <c r="Y730" s="11"/>
      <c r="Z730" s="11"/>
    </row>
    <row r="731">
      <c r="A731" s="18"/>
      <c r="B731" s="11"/>
      <c r="C731" s="11"/>
      <c r="D731" s="11"/>
      <c r="E731" s="11"/>
      <c r="F731" s="11"/>
      <c r="G731" s="11"/>
      <c r="H731" s="11"/>
      <c r="I731" s="11"/>
      <c r="J731" s="11"/>
      <c r="K731" s="11"/>
      <c r="L731" s="15"/>
      <c r="M731" s="15"/>
      <c r="N731" s="15"/>
      <c r="O731" s="15"/>
      <c r="P731" s="15"/>
      <c r="Q731" s="11"/>
      <c r="R731" s="11"/>
      <c r="S731" s="11"/>
      <c r="T731" s="11"/>
      <c r="U731" s="15"/>
      <c r="V731" s="11"/>
      <c r="W731" s="11"/>
      <c r="X731" s="11"/>
      <c r="Y731" s="11"/>
      <c r="Z731" s="11"/>
    </row>
    <row r="732">
      <c r="A732" s="18"/>
      <c r="B732" s="11"/>
      <c r="C732" s="11"/>
      <c r="D732" s="11"/>
      <c r="E732" s="11"/>
      <c r="F732" s="11"/>
      <c r="G732" s="11"/>
      <c r="H732" s="11"/>
      <c r="I732" s="11"/>
      <c r="J732" s="11"/>
      <c r="K732" s="11"/>
      <c r="L732" s="15"/>
      <c r="M732" s="15"/>
      <c r="N732" s="15"/>
      <c r="O732" s="15"/>
      <c r="P732" s="15"/>
      <c r="Q732" s="11"/>
      <c r="R732" s="11"/>
      <c r="S732" s="11"/>
      <c r="T732" s="11"/>
      <c r="U732" s="15"/>
      <c r="V732" s="11"/>
      <c r="W732" s="11"/>
      <c r="X732" s="11"/>
      <c r="Y732" s="11"/>
      <c r="Z732" s="11"/>
    </row>
    <row r="733">
      <c r="A733" s="18"/>
      <c r="B733" s="11"/>
      <c r="C733" s="11"/>
      <c r="D733" s="11"/>
      <c r="E733" s="11"/>
      <c r="F733" s="11"/>
      <c r="G733" s="11"/>
      <c r="H733" s="11"/>
      <c r="I733" s="11"/>
      <c r="J733" s="11"/>
      <c r="K733" s="11"/>
      <c r="L733" s="15"/>
      <c r="M733" s="15"/>
      <c r="N733" s="15"/>
      <c r="O733" s="15"/>
      <c r="P733" s="15"/>
      <c r="Q733" s="11"/>
      <c r="R733" s="11"/>
      <c r="S733" s="11"/>
      <c r="T733" s="11"/>
      <c r="U733" s="15"/>
      <c r="V733" s="11"/>
      <c r="W733" s="11"/>
      <c r="X733" s="11"/>
      <c r="Y733" s="11"/>
      <c r="Z733" s="11"/>
    </row>
    <row r="734">
      <c r="A734" s="18"/>
      <c r="B734" s="11"/>
      <c r="C734" s="11"/>
      <c r="D734" s="11"/>
      <c r="E734" s="11"/>
      <c r="F734" s="11"/>
      <c r="G734" s="11"/>
      <c r="H734" s="11"/>
      <c r="I734" s="11"/>
      <c r="J734" s="11"/>
      <c r="K734" s="11"/>
      <c r="L734" s="15"/>
      <c r="M734" s="15"/>
      <c r="N734" s="15"/>
      <c r="O734" s="15"/>
      <c r="P734" s="15"/>
      <c r="Q734" s="11"/>
      <c r="R734" s="11"/>
      <c r="S734" s="11"/>
      <c r="T734" s="11"/>
      <c r="U734" s="15"/>
      <c r="V734" s="11"/>
      <c r="W734" s="11"/>
      <c r="X734" s="11"/>
      <c r="Y734" s="11"/>
      <c r="Z734" s="11"/>
    </row>
    <row r="735">
      <c r="A735" s="18"/>
      <c r="B735" s="11"/>
      <c r="C735" s="11"/>
      <c r="D735" s="11"/>
      <c r="E735" s="11"/>
      <c r="F735" s="11"/>
      <c r="G735" s="11"/>
      <c r="H735" s="11"/>
      <c r="I735" s="11"/>
      <c r="J735" s="11"/>
      <c r="K735" s="11"/>
      <c r="L735" s="15"/>
      <c r="M735" s="15"/>
      <c r="N735" s="15"/>
      <c r="O735" s="15"/>
      <c r="P735" s="15"/>
      <c r="Q735" s="11"/>
      <c r="R735" s="11"/>
      <c r="S735" s="11"/>
      <c r="T735" s="11"/>
      <c r="U735" s="15"/>
      <c r="V735" s="11"/>
      <c r="W735" s="11"/>
      <c r="X735" s="11"/>
      <c r="Y735" s="11"/>
      <c r="Z735" s="11"/>
    </row>
    <row r="736">
      <c r="A736" s="18"/>
      <c r="B736" s="11"/>
      <c r="C736" s="11"/>
      <c r="D736" s="11"/>
      <c r="E736" s="11"/>
      <c r="F736" s="11"/>
      <c r="G736" s="11"/>
      <c r="H736" s="11"/>
      <c r="I736" s="11"/>
      <c r="J736" s="11"/>
      <c r="K736" s="11"/>
      <c r="L736" s="15"/>
      <c r="M736" s="15"/>
      <c r="N736" s="15"/>
      <c r="O736" s="15"/>
      <c r="P736" s="15"/>
      <c r="Q736" s="11"/>
      <c r="R736" s="11"/>
      <c r="S736" s="11"/>
      <c r="T736" s="11"/>
      <c r="U736" s="15"/>
      <c r="V736" s="11"/>
      <c r="W736" s="11"/>
      <c r="X736" s="11"/>
      <c r="Y736" s="11"/>
      <c r="Z736" s="11"/>
    </row>
    <row r="737">
      <c r="A737" s="18"/>
      <c r="B737" s="11"/>
      <c r="C737" s="11"/>
      <c r="D737" s="11"/>
      <c r="E737" s="11"/>
      <c r="F737" s="11"/>
      <c r="G737" s="11"/>
      <c r="H737" s="11"/>
      <c r="I737" s="11"/>
      <c r="J737" s="11"/>
      <c r="K737" s="11"/>
      <c r="L737" s="15"/>
      <c r="M737" s="15"/>
      <c r="N737" s="15"/>
      <c r="O737" s="15"/>
      <c r="P737" s="15"/>
      <c r="Q737" s="11"/>
      <c r="R737" s="11"/>
      <c r="S737" s="11"/>
      <c r="T737" s="11"/>
      <c r="U737" s="15"/>
      <c r="V737" s="11"/>
      <c r="W737" s="11"/>
      <c r="X737" s="11"/>
      <c r="Y737" s="11"/>
      <c r="Z737" s="11"/>
    </row>
    <row r="738">
      <c r="A738" s="18"/>
      <c r="B738" s="11"/>
      <c r="C738" s="11"/>
      <c r="D738" s="11"/>
      <c r="E738" s="11"/>
      <c r="F738" s="11"/>
      <c r="G738" s="11"/>
      <c r="H738" s="11"/>
      <c r="I738" s="11"/>
      <c r="J738" s="11"/>
      <c r="K738" s="11"/>
      <c r="L738" s="15"/>
      <c r="M738" s="15"/>
      <c r="N738" s="15"/>
      <c r="O738" s="15"/>
      <c r="P738" s="15"/>
      <c r="Q738" s="11"/>
      <c r="R738" s="11"/>
      <c r="S738" s="11"/>
      <c r="T738" s="11"/>
      <c r="U738" s="15"/>
      <c r="V738" s="11"/>
      <c r="W738" s="11"/>
      <c r="X738" s="11"/>
      <c r="Y738" s="11"/>
      <c r="Z738" s="11"/>
    </row>
    <row r="739">
      <c r="A739" s="18"/>
      <c r="B739" s="11"/>
      <c r="C739" s="11"/>
      <c r="D739" s="11"/>
      <c r="E739" s="11"/>
      <c r="F739" s="11"/>
      <c r="G739" s="11"/>
      <c r="H739" s="11"/>
      <c r="I739" s="11"/>
      <c r="J739" s="11"/>
      <c r="K739" s="11"/>
      <c r="L739" s="15"/>
      <c r="M739" s="15"/>
      <c r="N739" s="15"/>
      <c r="O739" s="15"/>
      <c r="P739" s="15"/>
      <c r="Q739" s="11"/>
      <c r="R739" s="11"/>
      <c r="S739" s="11"/>
      <c r="T739" s="11"/>
      <c r="U739" s="15"/>
      <c r="V739" s="11"/>
      <c r="W739" s="11"/>
      <c r="X739" s="11"/>
      <c r="Y739" s="11"/>
      <c r="Z739" s="11"/>
    </row>
    <row r="740">
      <c r="A740" s="18"/>
      <c r="B740" s="11"/>
      <c r="C740" s="11"/>
      <c r="D740" s="11"/>
      <c r="E740" s="11"/>
      <c r="F740" s="11"/>
      <c r="G740" s="11"/>
      <c r="H740" s="11"/>
      <c r="I740" s="11"/>
      <c r="J740" s="11"/>
      <c r="K740" s="11"/>
      <c r="L740" s="15"/>
      <c r="M740" s="15"/>
      <c r="N740" s="15"/>
      <c r="O740" s="15"/>
      <c r="P740" s="15"/>
      <c r="Q740" s="11"/>
      <c r="R740" s="11"/>
      <c r="S740" s="11"/>
      <c r="T740" s="11"/>
      <c r="U740" s="15"/>
      <c r="V740" s="11"/>
      <c r="W740" s="11"/>
      <c r="X740" s="11"/>
      <c r="Y740" s="11"/>
      <c r="Z740" s="11"/>
    </row>
    <row r="741">
      <c r="A741" s="18"/>
      <c r="B741" s="11"/>
      <c r="C741" s="11"/>
      <c r="D741" s="11"/>
      <c r="E741" s="11"/>
      <c r="F741" s="11"/>
      <c r="G741" s="11"/>
      <c r="H741" s="11"/>
      <c r="I741" s="11"/>
      <c r="J741" s="11"/>
      <c r="K741" s="11"/>
      <c r="L741" s="15"/>
      <c r="M741" s="15"/>
      <c r="N741" s="15"/>
      <c r="O741" s="15"/>
      <c r="P741" s="15"/>
      <c r="Q741" s="11"/>
      <c r="R741" s="11"/>
      <c r="S741" s="11"/>
      <c r="T741" s="11"/>
      <c r="U741" s="15"/>
      <c r="V741" s="11"/>
      <c r="W741" s="11"/>
      <c r="X741" s="11"/>
      <c r="Y741" s="11"/>
      <c r="Z741" s="11"/>
    </row>
    <row r="742">
      <c r="A742" s="18"/>
      <c r="B742" s="11"/>
      <c r="C742" s="11"/>
      <c r="D742" s="11"/>
      <c r="E742" s="11"/>
      <c r="F742" s="11"/>
      <c r="G742" s="11"/>
      <c r="H742" s="11"/>
      <c r="I742" s="11"/>
      <c r="J742" s="11"/>
      <c r="K742" s="11"/>
      <c r="L742" s="15"/>
      <c r="M742" s="15"/>
      <c r="N742" s="15"/>
      <c r="O742" s="15"/>
      <c r="P742" s="15"/>
      <c r="Q742" s="11"/>
      <c r="R742" s="11"/>
      <c r="S742" s="11"/>
      <c r="T742" s="11"/>
      <c r="U742" s="15"/>
      <c r="V742" s="11"/>
      <c r="W742" s="11"/>
      <c r="X742" s="11"/>
      <c r="Y742" s="11"/>
      <c r="Z742" s="11"/>
    </row>
    <row r="743">
      <c r="A743" s="18"/>
      <c r="B743" s="11"/>
      <c r="C743" s="11"/>
      <c r="D743" s="11"/>
      <c r="E743" s="11"/>
      <c r="F743" s="11"/>
      <c r="G743" s="11"/>
      <c r="H743" s="11"/>
      <c r="I743" s="11"/>
      <c r="J743" s="11"/>
      <c r="K743" s="11"/>
      <c r="L743" s="15"/>
      <c r="M743" s="15"/>
      <c r="N743" s="15"/>
      <c r="O743" s="15"/>
      <c r="P743" s="15"/>
      <c r="Q743" s="11"/>
      <c r="R743" s="11"/>
      <c r="S743" s="11"/>
      <c r="T743" s="11"/>
      <c r="U743" s="15"/>
      <c r="V743" s="11"/>
      <c r="W743" s="11"/>
      <c r="X743" s="11"/>
      <c r="Y743" s="11"/>
      <c r="Z743" s="11"/>
    </row>
    <row r="744">
      <c r="A744" s="18"/>
      <c r="B744" s="11"/>
      <c r="C744" s="11"/>
      <c r="D744" s="11"/>
      <c r="E744" s="11"/>
      <c r="F744" s="11"/>
      <c r="G744" s="11"/>
      <c r="H744" s="11"/>
      <c r="I744" s="11"/>
      <c r="J744" s="11"/>
      <c r="K744" s="11"/>
      <c r="L744" s="15"/>
      <c r="M744" s="15"/>
      <c r="N744" s="15"/>
      <c r="O744" s="15"/>
      <c r="P744" s="15"/>
      <c r="Q744" s="11"/>
      <c r="R744" s="11"/>
      <c r="S744" s="11"/>
      <c r="T744" s="11"/>
      <c r="U744" s="15"/>
      <c r="V744" s="11"/>
      <c r="W744" s="11"/>
      <c r="X744" s="11"/>
      <c r="Y744" s="11"/>
      <c r="Z744" s="11"/>
    </row>
    <row r="745">
      <c r="A745" s="18"/>
      <c r="B745" s="11"/>
      <c r="C745" s="11"/>
      <c r="D745" s="11"/>
      <c r="E745" s="11"/>
      <c r="F745" s="11"/>
      <c r="G745" s="11"/>
      <c r="H745" s="11"/>
      <c r="I745" s="11"/>
      <c r="J745" s="11"/>
      <c r="K745" s="11"/>
      <c r="L745" s="15"/>
      <c r="M745" s="15"/>
      <c r="N745" s="15"/>
      <c r="O745" s="15"/>
      <c r="P745" s="15"/>
      <c r="Q745" s="11"/>
      <c r="R745" s="11"/>
      <c r="S745" s="11"/>
      <c r="T745" s="11"/>
      <c r="U745" s="15"/>
      <c r="V745" s="11"/>
      <c r="W745" s="11"/>
      <c r="X745" s="11"/>
      <c r="Y745" s="11"/>
      <c r="Z745" s="11"/>
    </row>
    <row r="746">
      <c r="A746" s="18"/>
      <c r="B746" s="11"/>
      <c r="C746" s="11"/>
      <c r="D746" s="11"/>
      <c r="E746" s="11"/>
      <c r="F746" s="11"/>
      <c r="G746" s="11"/>
      <c r="H746" s="11"/>
      <c r="I746" s="11"/>
      <c r="J746" s="11"/>
      <c r="K746" s="11"/>
      <c r="L746" s="15"/>
      <c r="M746" s="15"/>
      <c r="N746" s="15"/>
      <c r="O746" s="15"/>
      <c r="P746" s="15"/>
      <c r="Q746" s="11"/>
      <c r="R746" s="11"/>
      <c r="S746" s="11"/>
      <c r="T746" s="11"/>
      <c r="U746" s="15"/>
      <c r="V746" s="11"/>
      <c r="W746" s="11"/>
      <c r="X746" s="11"/>
      <c r="Y746" s="11"/>
      <c r="Z746" s="11"/>
    </row>
    <row r="747">
      <c r="A747" s="18"/>
      <c r="B747" s="11"/>
      <c r="C747" s="11"/>
      <c r="D747" s="11"/>
      <c r="E747" s="11"/>
      <c r="F747" s="11"/>
      <c r="G747" s="11"/>
      <c r="H747" s="11"/>
      <c r="I747" s="11"/>
      <c r="J747" s="11"/>
      <c r="K747" s="11"/>
      <c r="L747" s="15"/>
      <c r="M747" s="15"/>
      <c r="N747" s="15"/>
      <c r="O747" s="15"/>
      <c r="P747" s="15"/>
      <c r="Q747" s="11"/>
      <c r="R747" s="11"/>
      <c r="S747" s="11"/>
      <c r="T747" s="11"/>
      <c r="U747" s="15"/>
      <c r="V747" s="11"/>
      <c r="W747" s="11"/>
      <c r="X747" s="11"/>
      <c r="Y747" s="11"/>
      <c r="Z747" s="11"/>
    </row>
    <row r="748">
      <c r="A748" s="18"/>
      <c r="B748" s="11"/>
      <c r="C748" s="11"/>
      <c r="D748" s="11"/>
      <c r="E748" s="11"/>
      <c r="F748" s="11"/>
      <c r="G748" s="11"/>
      <c r="H748" s="11"/>
      <c r="I748" s="11"/>
      <c r="J748" s="11"/>
      <c r="K748" s="11"/>
      <c r="L748" s="15"/>
      <c r="M748" s="15"/>
      <c r="N748" s="15"/>
      <c r="O748" s="15"/>
      <c r="P748" s="15"/>
      <c r="Q748" s="11"/>
      <c r="R748" s="11"/>
      <c r="S748" s="11"/>
      <c r="T748" s="11"/>
      <c r="U748" s="15"/>
      <c r="V748" s="11"/>
      <c r="W748" s="11"/>
      <c r="X748" s="11"/>
      <c r="Y748" s="11"/>
      <c r="Z748" s="11"/>
    </row>
    <row r="749">
      <c r="A749" s="18"/>
      <c r="B749" s="11"/>
      <c r="C749" s="11"/>
      <c r="D749" s="11"/>
      <c r="E749" s="11"/>
      <c r="F749" s="11"/>
      <c r="G749" s="11"/>
      <c r="H749" s="11"/>
      <c r="I749" s="11"/>
      <c r="J749" s="11"/>
      <c r="K749" s="11"/>
      <c r="L749" s="15"/>
      <c r="M749" s="15"/>
      <c r="N749" s="15"/>
      <c r="O749" s="15"/>
      <c r="P749" s="15"/>
      <c r="Q749" s="11"/>
      <c r="R749" s="11"/>
      <c r="S749" s="11"/>
      <c r="T749" s="11"/>
      <c r="U749" s="15"/>
      <c r="V749" s="11"/>
      <c r="W749" s="11"/>
      <c r="X749" s="11"/>
      <c r="Y749" s="11"/>
      <c r="Z749" s="11"/>
    </row>
    <row r="750">
      <c r="A750" s="18"/>
      <c r="B750" s="11"/>
      <c r="C750" s="11"/>
      <c r="D750" s="11"/>
      <c r="E750" s="11"/>
      <c r="F750" s="11"/>
      <c r="G750" s="11"/>
      <c r="H750" s="11"/>
      <c r="I750" s="11"/>
      <c r="J750" s="11"/>
      <c r="K750" s="11"/>
      <c r="L750" s="15"/>
      <c r="M750" s="15"/>
      <c r="N750" s="15"/>
      <c r="O750" s="15"/>
      <c r="P750" s="15"/>
      <c r="Q750" s="11"/>
      <c r="R750" s="11"/>
      <c r="S750" s="11"/>
      <c r="T750" s="11"/>
      <c r="U750" s="15"/>
      <c r="V750" s="11"/>
      <c r="W750" s="11"/>
      <c r="X750" s="11"/>
      <c r="Y750" s="11"/>
      <c r="Z750" s="11"/>
    </row>
    <row r="751">
      <c r="A751" s="18"/>
      <c r="B751" s="11"/>
      <c r="C751" s="11"/>
      <c r="D751" s="11"/>
      <c r="E751" s="11"/>
      <c r="F751" s="11"/>
      <c r="G751" s="11"/>
      <c r="H751" s="11"/>
      <c r="I751" s="11"/>
      <c r="J751" s="11"/>
      <c r="K751" s="11"/>
      <c r="L751" s="15"/>
      <c r="M751" s="15"/>
      <c r="N751" s="15"/>
      <c r="O751" s="15"/>
      <c r="P751" s="15"/>
      <c r="Q751" s="11"/>
      <c r="R751" s="11"/>
      <c r="S751" s="11"/>
      <c r="T751" s="11"/>
      <c r="U751" s="15"/>
      <c r="V751" s="11"/>
      <c r="W751" s="11"/>
      <c r="X751" s="11"/>
      <c r="Y751" s="11"/>
      <c r="Z751" s="11"/>
    </row>
    <row r="752">
      <c r="A752" s="18"/>
      <c r="B752" s="11"/>
      <c r="C752" s="11"/>
      <c r="D752" s="11"/>
      <c r="E752" s="11"/>
      <c r="F752" s="11"/>
      <c r="G752" s="11"/>
      <c r="H752" s="11"/>
      <c r="I752" s="11"/>
      <c r="J752" s="11"/>
      <c r="K752" s="11"/>
      <c r="L752" s="15"/>
      <c r="M752" s="15"/>
      <c r="N752" s="15"/>
      <c r="O752" s="15"/>
      <c r="P752" s="15"/>
      <c r="Q752" s="11"/>
      <c r="R752" s="11"/>
      <c r="S752" s="11"/>
      <c r="T752" s="11"/>
      <c r="U752" s="15"/>
      <c r="V752" s="11"/>
      <c r="W752" s="11"/>
      <c r="X752" s="11"/>
      <c r="Y752" s="11"/>
      <c r="Z752" s="11"/>
    </row>
    <row r="753">
      <c r="A753" s="18"/>
      <c r="B753" s="11"/>
      <c r="C753" s="11"/>
      <c r="D753" s="11"/>
      <c r="E753" s="11"/>
      <c r="F753" s="11"/>
      <c r="G753" s="11"/>
      <c r="H753" s="11"/>
      <c r="I753" s="11"/>
      <c r="J753" s="11"/>
      <c r="K753" s="11"/>
      <c r="L753" s="15"/>
      <c r="M753" s="15"/>
      <c r="N753" s="15"/>
      <c r="O753" s="15"/>
      <c r="P753" s="15"/>
      <c r="Q753" s="11"/>
      <c r="R753" s="11"/>
      <c r="S753" s="11"/>
      <c r="T753" s="11"/>
      <c r="U753" s="15"/>
      <c r="V753" s="11"/>
      <c r="W753" s="11"/>
      <c r="X753" s="11"/>
      <c r="Y753" s="11"/>
      <c r="Z753" s="11"/>
    </row>
    <row r="754">
      <c r="A754" s="18"/>
      <c r="B754" s="11"/>
      <c r="C754" s="11"/>
      <c r="D754" s="11"/>
      <c r="E754" s="11"/>
      <c r="F754" s="11"/>
      <c r="G754" s="11"/>
      <c r="H754" s="11"/>
      <c r="I754" s="11"/>
      <c r="J754" s="11"/>
      <c r="K754" s="11"/>
      <c r="L754" s="15"/>
      <c r="M754" s="15"/>
      <c r="N754" s="15"/>
      <c r="O754" s="15"/>
      <c r="P754" s="15"/>
      <c r="Q754" s="11"/>
      <c r="R754" s="11"/>
      <c r="S754" s="11"/>
      <c r="T754" s="11"/>
      <c r="U754" s="15"/>
      <c r="V754" s="11"/>
      <c r="W754" s="11"/>
      <c r="X754" s="11"/>
      <c r="Y754" s="11"/>
      <c r="Z754" s="11"/>
    </row>
    <row r="755">
      <c r="A755" s="18"/>
      <c r="B755" s="11"/>
      <c r="C755" s="11"/>
      <c r="D755" s="11"/>
      <c r="E755" s="11"/>
      <c r="F755" s="11"/>
      <c r="G755" s="11"/>
      <c r="H755" s="11"/>
      <c r="I755" s="11"/>
      <c r="J755" s="11"/>
      <c r="K755" s="11"/>
      <c r="L755" s="15"/>
      <c r="M755" s="15"/>
      <c r="N755" s="15"/>
      <c r="O755" s="15"/>
      <c r="P755" s="15"/>
      <c r="Q755" s="11"/>
      <c r="R755" s="11"/>
      <c r="S755" s="11"/>
      <c r="T755" s="11"/>
      <c r="U755" s="15"/>
      <c r="V755" s="11"/>
      <c r="W755" s="11"/>
      <c r="X755" s="11"/>
      <c r="Y755" s="11"/>
      <c r="Z755" s="11"/>
    </row>
    <row r="756">
      <c r="A756" s="18"/>
      <c r="B756" s="11"/>
      <c r="C756" s="11"/>
      <c r="D756" s="11"/>
      <c r="E756" s="11"/>
      <c r="F756" s="11"/>
      <c r="G756" s="11"/>
      <c r="H756" s="11"/>
      <c r="I756" s="11"/>
      <c r="J756" s="11"/>
      <c r="K756" s="11"/>
      <c r="L756" s="15"/>
      <c r="M756" s="15"/>
      <c r="N756" s="15"/>
      <c r="O756" s="15"/>
      <c r="P756" s="15"/>
      <c r="Q756" s="11"/>
      <c r="R756" s="11"/>
      <c r="S756" s="11"/>
      <c r="T756" s="11"/>
      <c r="U756" s="15"/>
      <c r="V756" s="11"/>
      <c r="W756" s="11"/>
      <c r="X756" s="11"/>
      <c r="Y756" s="11"/>
      <c r="Z756" s="11"/>
    </row>
    <row r="757">
      <c r="A757" s="18"/>
      <c r="B757" s="11"/>
      <c r="C757" s="11"/>
      <c r="D757" s="11"/>
      <c r="E757" s="11"/>
      <c r="F757" s="11"/>
      <c r="G757" s="11"/>
      <c r="H757" s="11"/>
      <c r="I757" s="11"/>
      <c r="J757" s="11"/>
      <c r="K757" s="11"/>
      <c r="L757" s="15"/>
      <c r="M757" s="15"/>
      <c r="N757" s="15"/>
      <c r="O757" s="15"/>
      <c r="P757" s="15"/>
      <c r="Q757" s="11"/>
      <c r="R757" s="11"/>
      <c r="S757" s="11"/>
      <c r="T757" s="11"/>
      <c r="U757" s="15"/>
      <c r="V757" s="11"/>
      <c r="W757" s="11"/>
      <c r="X757" s="11"/>
      <c r="Y757" s="11"/>
      <c r="Z757" s="11"/>
    </row>
    <row r="758">
      <c r="A758" s="18"/>
      <c r="B758" s="11"/>
      <c r="C758" s="11"/>
      <c r="D758" s="11"/>
      <c r="E758" s="11"/>
      <c r="F758" s="11"/>
      <c r="G758" s="11"/>
      <c r="H758" s="11"/>
      <c r="I758" s="11"/>
      <c r="J758" s="11"/>
      <c r="K758" s="11"/>
      <c r="L758" s="15"/>
      <c r="M758" s="15"/>
      <c r="N758" s="15"/>
      <c r="O758" s="15"/>
      <c r="P758" s="15"/>
      <c r="Q758" s="11"/>
      <c r="R758" s="11"/>
      <c r="S758" s="11"/>
      <c r="T758" s="11"/>
      <c r="U758" s="15"/>
      <c r="V758" s="11"/>
      <c r="W758" s="11"/>
      <c r="X758" s="11"/>
      <c r="Y758" s="11"/>
      <c r="Z758" s="11"/>
    </row>
    <row r="759">
      <c r="A759" s="18"/>
      <c r="B759" s="11"/>
      <c r="C759" s="11"/>
      <c r="D759" s="11"/>
      <c r="E759" s="11"/>
      <c r="F759" s="11"/>
      <c r="G759" s="11"/>
      <c r="H759" s="11"/>
      <c r="I759" s="11"/>
      <c r="J759" s="11"/>
      <c r="K759" s="11"/>
      <c r="L759" s="15"/>
      <c r="M759" s="15"/>
      <c r="N759" s="15"/>
      <c r="O759" s="15"/>
      <c r="P759" s="15"/>
      <c r="Q759" s="11"/>
      <c r="R759" s="11"/>
      <c r="S759" s="11"/>
      <c r="T759" s="11"/>
      <c r="U759" s="15"/>
      <c r="V759" s="11"/>
      <c r="W759" s="11"/>
      <c r="X759" s="11"/>
      <c r="Y759" s="11"/>
      <c r="Z759" s="11"/>
    </row>
    <row r="760">
      <c r="A760" s="18"/>
      <c r="B760" s="11"/>
      <c r="C760" s="11"/>
      <c r="D760" s="11"/>
      <c r="E760" s="11"/>
      <c r="F760" s="11"/>
      <c r="G760" s="11"/>
      <c r="H760" s="11"/>
      <c r="I760" s="11"/>
      <c r="J760" s="11"/>
      <c r="K760" s="11"/>
      <c r="L760" s="15"/>
      <c r="M760" s="15"/>
      <c r="N760" s="15"/>
      <c r="O760" s="15"/>
      <c r="P760" s="15"/>
      <c r="Q760" s="11"/>
      <c r="R760" s="11"/>
      <c r="S760" s="11"/>
      <c r="T760" s="11"/>
      <c r="U760" s="15"/>
      <c r="V760" s="11"/>
      <c r="W760" s="11"/>
      <c r="X760" s="11"/>
      <c r="Y760" s="11"/>
      <c r="Z760" s="11"/>
    </row>
    <row r="761">
      <c r="A761" s="18"/>
      <c r="B761" s="11"/>
      <c r="C761" s="11"/>
      <c r="D761" s="11"/>
      <c r="E761" s="11"/>
      <c r="F761" s="11"/>
      <c r="G761" s="11"/>
      <c r="H761" s="11"/>
      <c r="I761" s="11"/>
      <c r="J761" s="11"/>
      <c r="K761" s="11"/>
      <c r="L761" s="15"/>
      <c r="M761" s="15"/>
      <c r="N761" s="15"/>
      <c r="O761" s="15"/>
      <c r="P761" s="15"/>
      <c r="Q761" s="11"/>
      <c r="R761" s="11"/>
      <c r="S761" s="11"/>
      <c r="T761" s="11"/>
      <c r="U761" s="15"/>
      <c r="V761" s="11"/>
      <c r="W761" s="11"/>
      <c r="X761" s="11"/>
      <c r="Y761" s="11"/>
      <c r="Z761" s="11"/>
    </row>
    <row r="762">
      <c r="A762" s="18"/>
      <c r="B762" s="11"/>
      <c r="C762" s="11"/>
      <c r="D762" s="11"/>
      <c r="E762" s="11"/>
      <c r="F762" s="11"/>
      <c r="G762" s="11"/>
      <c r="H762" s="11"/>
      <c r="I762" s="11"/>
      <c r="J762" s="11"/>
      <c r="K762" s="11"/>
      <c r="L762" s="15"/>
      <c r="M762" s="15"/>
      <c r="N762" s="15"/>
      <c r="O762" s="15"/>
      <c r="P762" s="15"/>
      <c r="Q762" s="11"/>
      <c r="R762" s="11"/>
      <c r="S762" s="11"/>
      <c r="T762" s="11"/>
      <c r="U762" s="15"/>
      <c r="V762" s="11"/>
      <c r="W762" s="11"/>
      <c r="X762" s="11"/>
      <c r="Y762" s="11"/>
      <c r="Z762" s="11"/>
    </row>
    <row r="763">
      <c r="A763" s="18"/>
      <c r="B763" s="11"/>
      <c r="C763" s="11"/>
      <c r="D763" s="11"/>
      <c r="E763" s="11"/>
      <c r="F763" s="11"/>
      <c r="G763" s="11"/>
      <c r="H763" s="11"/>
      <c r="I763" s="11"/>
      <c r="J763" s="11"/>
      <c r="K763" s="11"/>
      <c r="L763" s="15"/>
      <c r="M763" s="15"/>
      <c r="N763" s="15"/>
      <c r="O763" s="15"/>
      <c r="P763" s="15"/>
      <c r="Q763" s="11"/>
      <c r="R763" s="11"/>
      <c r="S763" s="11"/>
      <c r="T763" s="11"/>
      <c r="U763" s="15"/>
      <c r="V763" s="11"/>
      <c r="W763" s="11"/>
      <c r="X763" s="11"/>
      <c r="Y763" s="11"/>
      <c r="Z763" s="11"/>
    </row>
    <row r="764">
      <c r="A764" s="18"/>
      <c r="B764" s="11"/>
      <c r="C764" s="11"/>
      <c r="D764" s="11"/>
      <c r="E764" s="11"/>
      <c r="F764" s="11"/>
      <c r="G764" s="11"/>
      <c r="H764" s="11"/>
      <c r="I764" s="11"/>
      <c r="J764" s="11"/>
      <c r="K764" s="11"/>
      <c r="L764" s="15"/>
      <c r="M764" s="15"/>
      <c r="N764" s="15"/>
      <c r="O764" s="15"/>
      <c r="P764" s="15"/>
      <c r="Q764" s="11"/>
      <c r="R764" s="11"/>
      <c r="S764" s="11"/>
      <c r="T764" s="11"/>
      <c r="U764" s="15"/>
      <c r="V764" s="11"/>
      <c r="W764" s="11"/>
      <c r="X764" s="11"/>
      <c r="Y764" s="11"/>
      <c r="Z764" s="11"/>
    </row>
    <row r="765">
      <c r="A765" s="18"/>
      <c r="B765" s="11"/>
      <c r="C765" s="11"/>
      <c r="D765" s="11"/>
      <c r="E765" s="11"/>
      <c r="F765" s="11"/>
      <c r="G765" s="11"/>
      <c r="H765" s="11"/>
      <c r="I765" s="11"/>
      <c r="J765" s="11"/>
      <c r="K765" s="11"/>
      <c r="L765" s="15"/>
      <c r="M765" s="15"/>
      <c r="N765" s="15"/>
      <c r="O765" s="15"/>
      <c r="P765" s="15"/>
      <c r="Q765" s="11"/>
      <c r="R765" s="11"/>
      <c r="S765" s="11"/>
      <c r="T765" s="11"/>
      <c r="U765" s="15"/>
      <c r="V765" s="11"/>
      <c r="W765" s="11"/>
      <c r="X765" s="11"/>
      <c r="Y765" s="11"/>
      <c r="Z765" s="11"/>
    </row>
    <row r="766">
      <c r="A766" s="18"/>
      <c r="B766" s="11"/>
      <c r="C766" s="11"/>
      <c r="D766" s="11"/>
      <c r="E766" s="11"/>
      <c r="F766" s="11"/>
      <c r="G766" s="11"/>
      <c r="H766" s="11"/>
      <c r="I766" s="11"/>
      <c r="J766" s="11"/>
      <c r="K766" s="11"/>
      <c r="L766" s="15"/>
      <c r="M766" s="15"/>
      <c r="N766" s="15"/>
      <c r="O766" s="15"/>
      <c r="P766" s="15"/>
      <c r="Q766" s="11"/>
      <c r="R766" s="11"/>
      <c r="S766" s="11"/>
      <c r="T766" s="11"/>
      <c r="U766" s="15"/>
      <c r="V766" s="11"/>
      <c r="W766" s="11"/>
      <c r="X766" s="11"/>
      <c r="Y766" s="11"/>
      <c r="Z766" s="11"/>
    </row>
    <row r="767">
      <c r="A767" s="18"/>
      <c r="B767" s="11"/>
      <c r="C767" s="11"/>
      <c r="D767" s="11"/>
      <c r="E767" s="11"/>
      <c r="F767" s="11"/>
      <c r="G767" s="11"/>
      <c r="H767" s="11"/>
      <c r="I767" s="11"/>
      <c r="J767" s="11"/>
      <c r="K767" s="11"/>
      <c r="L767" s="15"/>
      <c r="M767" s="15"/>
      <c r="N767" s="15"/>
      <c r="O767" s="15"/>
      <c r="P767" s="15"/>
      <c r="Q767" s="11"/>
      <c r="R767" s="11"/>
      <c r="S767" s="11"/>
      <c r="T767" s="11"/>
      <c r="U767" s="15"/>
      <c r="V767" s="11"/>
      <c r="W767" s="11"/>
      <c r="X767" s="11"/>
      <c r="Y767" s="11"/>
      <c r="Z767" s="11"/>
    </row>
    <row r="768">
      <c r="A768" s="18"/>
      <c r="B768" s="11"/>
      <c r="C768" s="11"/>
      <c r="D768" s="11"/>
      <c r="E768" s="11"/>
      <c r="F768" s="11"/>
      <c r="G768" s="11"/>
      <c r="H768" s="11"/>
      <c r="I768" s="11"/>
      <c r="J768" s="11"/>
      <c r="K768" s="11"/>
      <c r="L768" s="15"/>
      <c r="M768" s="15"/>
      <c r="N768" s="15"/>
      <c r="O768" s="15"/>
      <c r="P768" s="15"/>
      <c r="Q768" s="11"/>
      <c r="R768" s="11"/>
      <c r="S768" s="11"/>
      <c r="T768" s="11"/>
      <c r="U768" s="15"/>
      <c r="V768" s="11"/>
      <c r="W768" s="11"/>
      <c r="X768" s="11"/>
      <c r="Y768" s="11"/>
      <c r="Z768" s="11"/>
    </row>
    <row r="769">
      <c r="A769" s="18"/>
      <c r="B769" s="11"/>
      <c r="C769" s="11"/>
      <c r="D769" s="11"/>
      <c r="E769" s="11"/>
      <c r="F769" s="11"/>
      <c r="G769" s="11"/>
      <c r="H769" s="11"/>
      <c r="I769" s="11"/>
      <c r="J769" s="11"/>
      <c r="K769" s="11"/>
      <c r="L769" s="15"/>
      <c r="M769" s="15"/>
      <c r="N769" s="15"/>
      <c r="O769" s="15"/>
      <c r="P769" s="15"/>
      <c r="Q769" s="11"/>
      <c r="R769" s="11"/>
      <c r="S769" s="11"/>
      <c r="T769" s="11"/>
      <c r="U769" s="15"/>
      <c r="V769" s="11"/>
      <c r="W769" s="11"/>
      <c r="X769" s="11"/>
      <c r="Y769" s="11"/>
      <c r="Z769" s="11"/>
    </row>
    <row r="770">
      <c r="A770" s="18"/>
      <c r="B770" s="11"/>
      <c r="C770" s="11"/>
      <c r="D770" s="11"/>
      <c r="E770" s="11"/>
      <c r="F770" s="11"/>
      <c r="G770" s="11"/>
      <c r="H770" s="11"/>
      <c r="I770" s="11"/>
      <c r="J770" s="11"/>
      <c r="K770" s="11"/>
      <c r="L770" s="15"/>
      <c r="M770" s="15"/>
      <c r="N770" s="15"/>
      <c r="O770" s="15"/>
      <c r="P770" s="15"/>
      <c r="Q770" s="11"/>
      <c r="R770" s="11"/>
      <c r="S770" s="11"/>
      <c r="T770" s="11"/>
      <c r="U770" s="15"/>
      <c r="V770" s="11"/>
      <c r="W770" s="11"/>
      <c r="X770" s="11"/>
      <c r="Y770" s="11"/>
      <c r="Z770" s="11"/>
    </row>
    <row r="771">
      <c r="A771" s="18"/>
      <c r="B771" s="11"/>
      <c r="C771" s="11"/>
      <c r="D771" s="11"/>
      <c r="E771" s="11"/>
      <c r="F771" s="11"/>
      <c r="G771" s="11"/>
      <c r="H771" s="11"/>
      <c r="I771" s="11"/>
      <c r="J771" s="11"/>
      <c r="K771" s="11"/>
      <c r="L771" s="15"/>
      <c r="M771" s="15"/>
      <c r="N771" s="15"/>
      <c r="O771" s="15"/>
      <c r="P771" s="15"/>
      <c r="Q771" s="11"/>
      <c r="R771" s="11"/>
      <c r="S771" s="11"/>
      <c r="T771" s="11"/>
      <c r="U771" s="15"/>
      <c r="V771" s="11"/>
      <c r="W771" s="11"/>
      <c r="X771" s="11"/>
      <c r="Y771" s="11"/>
      <c r="Z771" s="11"/>
    </row>
    <row r="772">
      <c r="A772" s="18"/>
      <c r="B772" s="11"/>
      <c r="C772" s="11"/>
      <c r="D772" s="11"/>
      <c r="E772" s="11"/>
      <c r="F772" s="11"/>
      <c r="G772" s="11"/>
      <c r="H772" s="11"/>
      <c r="I772" s="11"/>
      <c r="J772" s="11"/>
      <c r="K772" s="11"/>
      <c r="L772" s="15"/>
      <c r="M772" s="15"/>
      <c r="N772" s="15"/>
      <c r="O772" s="15"/>
      <c r="P772" s="15"/>
      <c r="Q772" s="11"/>
      <c r="R772" s="11"/>
      <c r="S772" s="11"/>
      <c r="T772" s="11"/>
      <c r="U772" s="15"/>
      <c r="V772" s="11"/>
      <c r="W772" s="11"/>
      <c r="X772" s="11"/>
      <c r="Y772" s="11"/>
      <c r="Z772" s="11"/>
    </row>
    <row r="773">
      <c r="A773" s="18"/>
      <c r="B773" s="11"/>
      <c r="C773" s="11"/>
      <c r="D773" s="11"/>
      <c r="E773" s="11"/>
      <c r="F773" s="11"/>
      <c r="G773" s="11"/>
      <c r="H773" s="11"/>
      <c r="I773" s="11"/>
      <c r="J773" s="11"/>
      <c r="K773" s="11"/>
      <c r="L773" s="15"/>
      <c r="M773" s="15"/>
      <c r="N773" s="15"/>
      <c r="O773" s="15"/>
      <c r="P773" s="15"/>
      <c r="Q773" s="11"/>
      <c r="R773" s="11"/>
      <c r="S773" s="11"/>
      <c r="T773" s="11"/>
      <c r="U773" s="15"/>
      <c r="V773" s="11"/>
      <c r="W773" s="11"/>
      <c r="X773" s="11"/>
      <c r="Y773" s="11"/>
      <c r="Z773" s="11"/>
    </row>
    <row r="774">
      <c r="A774" s="18"/>
      <c r="B774" s="11"/>
      <c r="C774" s="11"/>
      <c r="D774" s="11"/>
      <c r="E774" s="11"/>
      <c r="F774" s="11"/>
      <c r="G774" s="11"/>
      <c r="H774" s="11"/>
      <c r="I774" s="11"/>
      <c r="J774" s="11"/>
      <c r="K774" s="11"/>
      <c r="L774" s="15"/>
      <c r="M774" s="15"/>
      <c r="N774" s="15"/>
      <c r="O774" s="15"/>
      <c r="P774" s="15"/>
      <c r="Q774" s="11"/>
      <c r="R774" s="11"/>
      <c r="S774" s="11"/>
      <c r="T774" s="11"/>
      <c r="U774" s="15"/>
      <c r="V774" s="11"/>
      <c r="W774" s="11"/>
      <c r="X774" s="11"/>
      <c r="Y774" s="11"/>
      <c r="Z774" s="11"/>
    </row>
    <row r="775">
      <c r="A775" s="18"/>
      <c r="B775" s="11"/>
      <c r="C775" s="11"/>
      <c r="D775" s="11"/>
      <c r="E775" s="11"/>
      <c r="F775" s="11"/>
      <c r="G775" s="11"/>
      <c r="H775" s="11"/>
      <c r="I775" s="11"/>
      <c r="J775" s="11"/>
      <c r="K775" s="11"/>
      <c r="L775" s="15"/>
      <c r="M775" s="15"/>
      <c r="N775" s="15"/>
      <c r="O775" s="15"/>
      <c r="P775" s="15"/>
      <c r="Q775" s="11"/>
      <c r="R775" s="11"/>
      <c r="S775" s="11"/>
      <c r="T775" s="11"/>
      <c r="U775" s="15"/>
      <c r="V775" s="11"/>
      <c r="W775" s="11"/>
      <c r="X775" s="11"/>
      <c r="Y775" s="11"/>
      <c r="Z775" s="11"/>
    </row>
    <row r="776">
      <c r="A776" s="18"/>
      <c r="B776" s="11"/>
      <c r="C776" s="11"/>
      <c r="D776" s="11"/>
      <c r="E776" s="11"/>
      <c r="F776" s="11"/>
      <c r="G776" s="11"/>
      <c r="H776" s="11"/>
      <c r="I776" s="11"/>
      <c r="J776" s="11"/>
      <c r="K776" s="11"/>
      <c r="L776" s="15"/>
      <c r="M776" s="15"/>
      <c r="N776" s="15"/>
      <c r="O776" s="15"/>
      <c r="P776" s="15"/>
      <c r="Q776" s="11"/>
      <c r="R776" s="11"/>
      <c r="S776" s="11"/>
      <c r="T776" s="11"/>
      <c r="U776" s="15"/>
      <c r="V776" s="11"/>
      <c r="W776" s="11"/>
      <c r="X776" s="11"/>
      <c r="Y776" s="11"/>
      <c r="Z776" s="11"/>
    </row>
    <row r="777">
      <c r="A777" s="18"/>
      <c r="B777" s="11"/>
      <c r="C777" s="11"/>
      <c r="D777" s="11"/>
      <c r="E777" s="11"/>
      <c r="F777" s="11"/>
      <c r="G777" s="11"/>
      <c r="H777" s="11"/>
      <c r="I777" s="11"/>
      <c r="J777" s="11"/>
      <c r="K777" s="11"/>
      <c r="L777" s="15"/>
      <c r="M777" s="15"/>
      <c r="N777" s="15"/>
      <c r="O777" s="15"/>
      <c r="P777" s="15"/>
      <c r="Q777" s="11"/>
      <c r="R777" s="11"/>
      <c r="S777" s="11"/>
      <c r="T777" s="11"/>
      <c r="U777" s="15"/>
      <c r="V777" s="11"/>
      <c r="W777" s="11"/>
      <c r="X777" s="11"/>
      <c r="Y777" s="11"/>
      <c r="Z777" s="11"/>
    </row>
    <row r="778">
      <c r="A778" s="18"/>
      <c r="B778" s="11"/>
      <c r="C778" s="11"/>
      <c r="D778" s="11"/>
      <c r="E778" s="11"/>
      <c r="F778" s="11"/>
      <c r="G778" s="11"/>
      <c r="H778" s="11"/>
      <c r="I778" s="11"/>
      <c r="J778" s="11"/>
      <c r="K778" s="11"/>
      <c r="L778" s="15"/>
      <c r="M778" s="15"/>
      <c r="N778" s="15"/>
      <c r="O778" s="15"/>
      <c r="P778" s="15"/>
      <c r="Q778" s="11"/>
      <c r="R778" s="11"/>
      <c r="S778" s="11"/>
      <c r="T778" s="11"/>
      <c r="U778" s="15"/>
      <c r="V778" s="11"/>
      <c r="W778" s="11"/>
      <c r="X778" s="11"/>
      <c r="Y778" s="11"/>
      <c r="Z778" s="11"/>
    </row>
    <row r="779">
      <c r="A779" s="18"/>
      <c r="B779" s="11"/>
      <c r="C779" s="11"/>
      <c r="D779" s="11"/>
      <c r="E779" s="11"/>
      <c r="F779" s="11"/>
      <c r="G779" s="11"/>
      <c r="H779" s="11"/>
      <c r="I779" s="11"/>
      <c r="J779" s="11"/>
      <c r="K779" s="11"/>
      <c r="L779" s="15"/>
      <c r="M779" s="15"/>
      <c r="N779" s="15"/>
      <c r="O779" s="15"/>
      <c r="P779" s="15"/>
      <c r="Q779" s="11"/>
      <c r="R779" s="11"/>
      <c r="S779" s="11"/>
      <c r="T779" s="11"/>
      <c r="U779" s="15"/>
      <c r="V779" s="11"/>
      <c r="W779" s="11"/>
      <c r="X779" s="11"/>
      <c r="Y779" s="11"/>
      <c r="Z779" s="11"/>
    </row>
    <row r="780">
      <c r="A780" s="18"/>
      <c r="B780" s="11"/>
      <c r="C780" s="11"/>
      <c r="D780" s="11"/>
      <c r="E780" s="11"/>
      <c r="F780" s="11"/>
      <c r="G780" s="11"/>
      <c r="H780" s="11"/>
      <c r="I780" s="11"/>
      <c r="J780" s="11"/>
      <c r="K780" s="11"/>
      <c r="L780" s="15"/>
      <c r="M780" s="15"/>
      <c r="N780" s="15"/>
      <c r="O780" s="15"/>
      <c r="P780" s="15"/>
      <c r="Q780" s="11"/>
      <c r="R780" s="11"/>
      <c r="S780" s="11"/>
      <c r="T780" s="11"/>
      <c r="U780" s="15"/>
      <c r="V780" s="11"/>
      <c r="W780" s="11"/>
      <c r="X780" s="11"/>
      <c r="Y780" s="11"/>
      <c r="Z780" s="11"/>
    </row>
    <row r="781">
      <c r="A781" s="18"/>
      <c r="B781" s="11"/>
      <c r="C781" s="11"/>
      <c r="D781" s="11"/>
      <c r="E781" s="11"/>
      <c r="F781" s="11"/>
      <c r="G781" s="11"/>
      <c r="H781" s="11"/>
      <c r="I781" s="11"/>
      <c r="J781" s="11"/>
      <c r="K781" s="11"/>
      <c r="L781" s="15"/>
      <c r="M781" s="15"/>
      <c r="N781" s="15"/>
      <c r="O781" s="15"/>
      <c r="P781" s="15"/>
      <c r="Q781" s="11"/>
      <c r="R781" s="11"/>
      <c r="S781" s="11"/>
      <c r="T781" s="11"/>
      <c r="U781" s="15"/>
      <c r="V781" s="11"/>
      <c r="W781" s="11"/>
      <c r="X781" s="11"/>
      <c r="Y781" s="11"/>
      <c r="Z781" s="11"/>
    </row>
    <row r="782">
      <c r="A782" s="18"/>
      <c r="B782" s="11"/>
      <c r="C782" s="11"/>
      <c r="D782" s="11"/>
      <c r="E782" s="11"/>
      <c r="F782" s="11"/>
      <c r="G782" s="11"/>
      <c r="H782" s="11"/>
      <c r="I782" s="11"/>
      <c r="J782" s="11"/>
      <c r="K782" s="11"/>
      <c r="L782" s="15"/>
      <c r="M782" s="15"/>
      <c r="N782" s="15"/>
      <c r="O782" s="15"/>
      <c r="P782" s="15"/>
      <c r="Q782" s="11"/>
      <c r="R782" s="11"/>
      <c r="S782" s="11"/>
      <c r="T782" s="11"/>
      <c r="U782" s="15"/>
      <c r="V782" s="11"/>
      <c r="W782" s="11"/>
      <c r="X782" s="11"/>
      <c r="Y782" s="11"/>
      <c r="Z782" s="11"/>
    </row>
    <row r="783">
      <c r="A783" s="18"/>
      <c r="B783" s="11"/>
      <c r="C783" s="11"/>
      <c r="D783" s="11"/>
      <c r="E783" s="11"/>
      <c r="F783" s="11"/>
      <c r="G783" s="11"/>
      <c r="H783" s="11"/>
      <c r="I783" s="11"/>
      <c r="J783" s="11"/>
      <c r="K783" s="11"/>
      <c r="L783" s="15"/>
      <c r="M783" s="15"/>
      <c r="N783" s="15"/>
      <c r="O783" s="15"/>
      <c r="P783" s="15"/>
      <c r="Q783" s="11"/>
      <c r="R783" s="11"/>
      <c r="S783" s="11"/>
      <c r="T783" s="11"/>
      <c r="U783" s="15"/>
      <c r="V783" s="11"/>
      <c r="W783" s="11"/>
      <c r="X783" s="11"/>
      <c r="Y783" s="11"/>
      <c r="Z783" s="11"/>
    </row>
    <row r="784">
      <c r="A784" s="18"/>
      <c r="B784" s="11"/>
      <c r="C784" s="11"/>
      <c r="D784" s="11"/>
      <c r="E784" s="11"/>
      <c r="F784" s="11"/>
      <c r="G784" s="11"/>
      <c r="H784" s="11"/>
      <c r="I784" s="11"/>
      <c r="J784" s="11"/>
      <c r="K784" s="11"/>
      <c r="L784" s="15"/>
      <c r="M784" s="15"/>
      <c r="N784" s="15"/>
      <c r="O784" s="15"/>
      <c r="P784" s="15"/>
      <c r="Q784" s="11"/>
      <c r="R784" s="11"/>
      <c r="S784" s="11"/>
      <c r="T784" s="11"/>
      <c r="U784" s="15"/>
      <c r="V784" s="11"/>
      <c r="W784" s="11"/>
      <c r="X784" s="11"/>
      <c r="Y784" s="11"/>
      <c r="Z784" s="11"/>
    </row>
    <row r="785">
      <c r="A785" s="18"/>
      <c r="B785" s="11"/>
      <c r="C785" s="11"/>
      <c r="D785" s="11"/>
      <c r="E785" s="11"/>
      <c r="F785" s="11"/>
      <c r="G785" s="11"/>
      <c r="H785" s="11"/>
      <c r="I785" s="11"/>
      <c r="J785" s="11"/>
      <c r="K785" s="11"/>
      <c r="L785" s="15"/>
      <c r="M785" s="15"/>
      <c r="N785" s="15"/>
      <c r="O785" s="15"/>
      <c r="P785" s="15"/>
      <c r="Q785" s="11"/>
      <c r="R785" s="11"/>
      <c r="S785" s="11"/>
      <c r="T785" s="11"/>
      <c r="U785" s="15"/>
      <c r="V785" s="11"/>
      <c r="W785" s="11"/>
      <c r="X785" s="11"/>
      <c r="Y785" s="11"/>
      <c r="Z785" s="11"/>
    </row>
    <row r="786">
      <c r="A786" s="18"/>
      <c r="B786" s="11"/>
      <c r="C786" s="11"/>
      <c r="D786" s="11"/>
      <c r="E786" s="11"/>
      <c r="F786" s="11"/>
      <c r="G786" s="11"/>
      <c r="H786" s="11"/>
      <c r="I786" s="11"/>
      <c r="J786" s="11"/>
      <c r="K786" s="11"/>
      <c r="L786" s="15"/>
      <c r="M786" s="15"/>
      <c r="N786" s="15"/>
      <c r="O786" s="15"/>
      <c r="P786" s="15"/>
      <c r="Q786" s="11"/>
      <c r="R786" s="11"/>
      <c r="S786" s="11"/>
      <c r="T786" s="11"/>
      <c r="U786" s="15"/>
      <c r="V786" s="11"/>
      <c r="W786" s="11"/>
      <c r="X786" s="11"/>
      <c r="Y786" s="11"/>
      <c r="Z786" s="11"/>
    </row>
    <row r="787">
      <c r="A787" s="18"/>
      <c r="B787" s="11"/>
      <c r="C787" s="11"/>
      <c r="D787" s="11"/>
      <c r="E787" s="11"/>
      <c r="F787" s="11"/>
      <c r="G787" s="11"/>
      <c r="H787" s="11"/>
      <c r="I787" s="11"/>
      <c r="J787" s="11"/>
      <c r="K787" s="11"/>
      <c r="L787" s="15"/>
      <c r="M787" s="15"/>
      <c r="N787" s="15"/>
      <c r="O787" s="15"/>
      <c r="P787" s="15"/>
      <c r="Q787" s="11"/>
      <c r="R787" s="11"/>
      <c r="S787" s="11"/>
      <c r="T787" s="11"/>
      <c r="U787" s="15"/>
      <c r="V787" s="11"/>
      <c r="W787" s="11"/>
      <c r="X787" s="11"/>
      <c r="Y787" s="11"/>
      <c r="Z787" s="11"/>
    </row>
    <row r="788">
      <c r="A788" s="18"/>
      <c r="B788" s="11"/>
      <c r="C788" s="11"/>
      <c r="D788" s="11"/>
      <c r="E788" s="11"/>
      <c r="F788" s="11"/>
      <c r="G788" s="11"/>
      <c r="H788" s="11"/>
      <c r="I788" s="11"/>
      <c r="J788" s="11"/>
      <c r="K788" s="11"/>
      <c r="L788" s="15"/>
      <c r="M788" s="15"/>
      <c r="N788" s="15"/>
      <c r="O788" s="15"/>
      <c r="P788" s="15"/>
      <c r="Q788" s="11"/>
      <c r="R788" s="11"/>
      <c r="S788" s="11"/>
      <c r="T788" s="11"/>
      <c r="U788" s="15"/>
      <c r="V788" s="11"/>
      <c r="W788" s="11"/>
      <c r="X788" s="11"/>
      <c r="Y788" s="11"/>
      <c r="Z788" s="11"/>
    </row>
    <row r="789">
      <c r="A789" s="18"/>
      <c r="B789" s="11"/>
      <c r="C789" s="11"/>
      <c r="D789" s="11"/>
      <c r="E789" s="11"/>
      <c r="F789" s="11"/>
      <c r="G789" s="11"/>
      <c r="H789" s="11"/>
      <c r="I789" s="11"/>
      <c r="J789" s="11"/>
      <c r="K789" s="11"/>
      <c r="L789" s="15"/>
      <c r="M789" s="15"/>
      <c r="N789" s="15"/>
      <c r="O789" s="15"/>
      <c r="P789" s="15"/>
      <c r="Q789" s="11"/>
      <c r="R789" s="11"/>
      <c r="S789" s="11"/>
      <c r="T789" s="11"/>
      <c r="U789" s="15"/>
      <c r="V789" s="11"/>
      <c r="W789" s="11"/>
      <c r="X789" s="11"/>
      <c r="Y789" s="11"/>
      <c r="Z789" s="11"/>
    </row>
    <row r="790">
      <c r="A790" s="18"/>
      <c r="B790" s="11"/>
      <c r="C790" s="11"/>
      <c r="D790" s="11"/>
      <c r="E790" s="11"/>
      <c r="F790" s="11"/>
      <c r="G790" s="11"/>
      <c r="H790" s="11"/>
      <c r="I790" s="11"/>
      <c r="J790" s="11"/>
      <c r="K790" s="11"/>
      <c r="L790" s="15"/>
      <c r="M790" s="15"/>
      <c r="N790" s="15"/>
      <c r="O790" s="15"/>
      <c r="P790" s="15"/>
      <c r="Q790" s="11"/>
      <c r="R790" s="11"/>
      <c r="S790" s="11"/>
      <c r="T790" s="11"/>
      <c r="U790" s="15"/>
      <c r="V790" s="11"/>
      <c r="W790" s="11"/>
      <c r="X790" s="11"/>
      <c r="Y790" s="11"/>
      <c r="Z790" s="11"/>
    </row>
    <row r="791">
      <c r="A791" s="18"/>
      <c r="B791" s="11"/>
      <c r="C791" s="11"/>
      <c r="D791" s="11"/>
      <c r="E791" s="11"/>
      <c r="F791" s="11"/>
      <c r="G791" s="11"/>
      <c r="H791" s="11"/>
      <c r="I791" s="11"/>
      <c r="J791" s="11"/>
      <c r="K791" s="11"/>
      <c r="L791" s="15"/>
      <c r="M791" s="15"/>
      <c r="N791" s="15"/>
      <c r="O791" s="15"/>
      <c r="P791" s="15"/>
      <c r="Q791" s="11"/>
      <c r="R791" s="11"/>
      <c r="S791" s="11"/>
      <c r="T791" s="11"/>
      <c r="U791" s="15"/>
      <c r="V791" s="11"/>
      <c r="W791" s="11"/>
      <c r="X791" s="11"/>
      <c r="Y791" s="11"/>
      <c r="Z791" s="11"/>
    </row>
    <row r="792">
      <c r="A792" s="18"/>
      <c r="B792" s="11"/>
      <c r="C792" s="11"/>
      <c r="D792" s="11"/>
      <c r="E792" s="11"/>
      <c r="F792" s="11"/>
      <c r="G792" s="11"/>
      <c r="H792" s="11"/>
      <c r="I792" s="11"/>
      <c r="J792" s="11"/>
      <c r="K792" s="11"/>
      <c r="L792" s="15"/>
      <c r="M792" s="15"/>
      <c r="N792" s="15"/>
      <c r="O792" s="15"/>
      <c r="P792" s="15"/>
      <c r="Q792" s="11"/>
      <c r="R792" s="11"/>
      <c r="S792" s="11"/>
      <c r="T792" s="11"/>
      <c r="U792" s="15"/>
      <c r="V792" s="11"/>
      <c r="W792" s="11"/>
      <c r="X792" s="11"/>
      <c r="Y792" s="11"/>
      <c r="Z792" s="11"/>
    </row>
    <row r="793">
      <c r="A793" s="18"/>
      <c r="B793" s="11"/>
      <c r="C793" s="11"/>
      <c r="D793" s="11"/>
      <c r="E793" s="11"/>
      <c r="F793" s="11"/>
      <c r="G793" s="11"/>
      <c r="H793" s="11"/>
      <c r="I793" s="11"/>
      <c r="J793" s="11"/>
      <c r="K793" s="11"/>
      <c r="L793" s="15"/>
      <c r="M793" s="15"/>
      <c r="N793" s="15"/>
      <c r="O793" s="15"/>
      <c r="P793" s="15"/>
      <c r="Q793" s="11"/>
      <c r="R793" s="11"/>
      <c r="S793" s="11"/>
      <c r="T793" s="11"/>
      <c r="U793" s="15"/>
      <c r="V793" s="11"/>
      <c r="W793" s="11"/>
      <c r="X793" s="11"/>
      <c r="Y793" s="11"/>
      <c r="Z793" s="11"/>
    </row>
    <row r="794">
      <c r="A794" s="18"/>
      <c r="B794" s="11"/>
      <c r="C794" s="11"/>
      <c r="D794" s="11"/>
      <c r="E794" s="11"/>
      <c r="F794" s="11"/>
      <c r="G794" s="11"/>
      <c r="H794" s="11"/>
      <c r="I794" s="11"/>
      <c r="J794" s="11"/>
      <c r="K794" s="11"/>
      <c r="L794" s="15"/>
      <c r="M794" s="15"/>
      <c r="N794" s="15"/>
      <c r="O794" s="15"/>
      <c r="P794" s="15"/>
      <c r="Q794" s="11"/>
      <c r="R794" s="11"/>
      <c r="S794" s="11"/>
      <c r="T794" s="11"/>
      <c r="U794" s="15"/>
      <c r="V794" s="11"/>
      <c r="W794" s="11"/>
      <c r="X794" s="11"/>
      <c r="Y794" s="11"/>
      <c r="Z794" s="11"/>
    </row>
    <row r="795">
      <c r="A795" s="18"/>
      <c r="B795" s="11"/>
      <c r="C795" s="11"/>
      <c r="D795" s="11"/>
      <c r="E795" s="11"/>
      <c r="F795" s="11"/>
      <c r="G795" s="11"/>
      <c r="H795" s="11"/>
      <c r="I795" s="11"/>
      <c r="J795" s="11"/>
      <c r="K795" s="11"/>
      <c r="L795" s="15"/>
      <c r="M795" s="15"/>
      <c r="N795" s="15"/>
      <c r="O795" s="15"/>
      <c r="P795" s="15"/>
      <c r="Q795" s="11"/>
      <c r="R795" s="11"/>
      <c r="S795" s="11"/>
      <c r="T795" s="11"/>
      <c r="U795" s="15"/>
      <c r="V795" s="11"/>
      <c r="W795" s="11"/>
      <c r="X795" s="11"/>
      <c r="Y795" s="11"/>
      <c r="Z795" s="11"/>
    </row>
    <row r="796">
      <c r="A796" s="18"/>
      <c r="B796" s="11"/>
      <c r="C796" s="11"/>
      <c r="D796" s="11"/>
      <c r="E796" s="11"/>
      <c r="F796" s="11"/>
      <c r="G796" s="11"/>
      <c r="H796" s="11"/>
      <c r="I796" s="11"/>
      <c r="J796" s="11"/>
      <c r="K796" s="11"/>
      <c r="L796" s="15"/>
      <c r="M796" s="15"/>
      <c r="N796" s="15"/>
      <c r="O796" s="15"/>
      <c r="P796" s="15"/>
      <c r="Q796" s="11"/>
      <c r="R796" s="11"/>
      <c r="S796" s="11"/>
      <c r="T796" s="11"/>
      <c r="U796" s="15"/>
      <c r="V796" s="11"/>
      <c r="W796" s="11"/>
      <c r="X796" s="11"/>
      <c r="Y796" s="11"/>
      <c r="Z796" s="11"/>
    </row>
    <row r="797">
      <c r="A797" s="18"/>
      <c r="B797" s="11"/>
      <c r="C797" s="11"/>
      <c r="D797" s="11"/>
      <c r="E797" s="11"/>
      <c r="F797" s="11"/>
      <c r="G797" s="11"/>
      <c r="H797" s="11"/>
      <c r="I797" s="11"/>
      <c r="J797" s="11"/>
      <c r="K797" s="11"/>
      <c r="L797" s="15"/>
      <c r="M797" s="15"/>
      <c r="N797" s="15"/>
      <c r="O797" s="15"/>
      <c r="P797" s="15"/>
      <c r="Q797" s="11"/>
      <c r="R797" s="11"/>
      <c r="S797" s="11"/>
      <c r="T797" s="11"/>
      <c r="U797" s="15"/>
      <c r="V797" s="11"/>
      <c r="W797" s="11"/>
      <c r="X797" s="11"/>
      <c r="Y797" s="11"/>
      <c r="Z797" s="11"/>
    </row>
    <row r="798">
      <c r="A798" s="18"/>
      <c r="B798" s="11"/>
      <c r="C798" s="11"/>
      <c r="D798" s="11"/>
      <c r="E798" s="11"/>
      <c r="F798" s="11"/>
      <c r="G798" s="11"/>
      <c r="H798" s="11"/>
      <c r="I798" s="11"/>
      <c r="J798" s="11"/>
      <c r="K798" s="11"/>
      <c r="L798" s="15"/>
      <c r="M798" s="15"/>
      <c r="N798" s="15"/>
      <c r="O798" s="15"/>
      <c r="P798" s="15"/>
      <c r="Q798" s="11"/>
      <c r="R798" s="11"/>
      <c r="S798" s="11"/>
      <c r="T798" s="11"/>
      <c r="U798" s="15"/>
      <c r="V798" s="11"/>
      <c r="W798" s="11"/>
      <c r="X798" s="11"/>
      <c r="Y798" s="11"/>
      <c r="Z798" s="11"/>
    </row>
    <row r="799">
      <c r="A799" s="18"/>
      <c r="B799" s="11"/>
      <c r="C799" s="11"/>
      <c r="D799" s="11"/>
      <c r="E799" s="11"/>
      <c r="F799" s="11"/>
      <c r="G799" s="11"/>
      <c r="H799" s="11"/>
      <c r="I799" s="11"/>
      <c r="J799" s="11"/>
      <c r="K799" s="11"/>
      <c r="L799" s="15"/>
      <c r="M799" s="15"/>
      <c r="N799" s="15"/>
      <c r="O799" s="15"/>
      <c r="P799" s="15"/>
      <c r="Q799" s="11"/>
      <c r="R799" s="11"/>
      <c r="S799" s="11"/>
      <c r="T799" s="11"/>
      <c r="U799" s="15"/>
      <c r="V799" s="11"/>
      <c r="W799" s="11"/>
      <c r="X799" s="11"/>
      <c r="Y799" s="11"/>
      <c r="Z799" s="11"/>
    </row>
    <row r="800">
      <c r="A800" s="18"/>
      <c r="B800" s="11"/>
      <c r="C800" s="11"/>
      <c r="D800" s="11"/>
      <c r="E800" s="11"/>
      <c r="F800" s="11"/>
      <c r="G800" s="11"/>
      <c r="H800" s="11"/>
      <c r="I800" s="11"/>
      <c r="J800" s="11"/>
      <c r="K800" s="11"/>
      <c r="L800" s="15"/>
      <c r="M800" s="15"/>
      <c r="N800" s="15"/>
      <c r="O800" s="15"/>
      <c r="P800" s="15"/>
      <c r="Q800" s="11"/>
      <c r="R800" s="11"/>
      <c r="S800" s="11"/>
      <c r="T800" s="11"/>
      <c r="U800" s="15"/>
      <c r="V800" s="11"/>
      <c r="W800" s="11"/>
      <c r="X800" s="11"/>
      <c r="Y800" s="11"/>
      <c r="Z800" s="11"/>
    </row>
    <row r="801">
      <c r="A801" s="18"/>
      <c r="B801" s="11"/>
      <c r="C801" s="11"/>
      <c r="D801" s="11"/>
      <c r="E801" s="11"/>
      <c r="F801" s="11"/>
      <c r="G801" s="11"/>
      <c r="H801" s="11"/>
      <c r="I801" s="11"/>
      <c r="J801" s="11"/>
      <c r="K801" s="11"/>
      <c r="L801" s="15"/>
      <c r="M801" s="15"/>
      <c r="N801" s="15"/>
      <c r="O801" s="15"/>
      <c r="P801" s="15"/>
      <c r="Q801" s="11"/>
      <c r="R801" s="11"/>
      <c r="S801" s="11"/>
      <c r="T801" s="11"/>
      <c r="U801" s="15"/>
      <c r="V801" s="11"/>
      <c r="W801" s="11"/>
      <c r="X801" s="11"/>
      <c r="Y801" s="11"/>
      <c r="Z801" s="11"/>
    </row>
    <row r="802">
      <c r="A802" s="18"/>
      <c r="B802" s="11"/>
      <c r="C802" s="11"/>
      <c r="D802" s="11"/>
      <c r="E802" s="11"/>
      <c r="F802" s="11"/>
      <c r="G802" s="11"/>
      <c r="H802" s="11"/>
      <c r="I802" s="11"/>
      <c r="J802" s="11"/>
      <c r="K802" s="11"/>
      <c r="L802" s="15"/>
      <c r="M802" s="15"/>
      <c r="N802" s="15"/>
      <c r="O802" s="15"/>
      <c r="P802" s="15"/>
      <c r="Q802" s="11"/>
      <c r="R802" s="11"/>
      <c r="S802" s="11"/>
      <c r="T802" s="11"/>
      <c r="U802" s="15"/>
      <c r="V802" s="11"/>
      <c r="W802" s="11"/>
      <c r="X802" s="11"/>
      <c r="Y802" s="11"/>
      <c r="Z802" s="11"/>
    </row>
    <row r="803">
      <c r="A803" s="18"/>
      <c r="B803" s="11"/>
      <c r="C803" s="11"/>
      <c r="D803" s="11"/>
      <c r="E803" s="11"/>
      <c r="F803" s="11"/>
      <c r="G803" s="11"/>
      <c r="H803" s="11"/>
      <c r="I803" s="11"/>
      <c r="J803" s="11"/>
      <c r="K803" s="11"/>
      <c r="L803" s="15"/>
      <c r="M803" s="15"/>
      <c r="N803" s="15"/>
      <c r="O803" s="15"/>
      <c r="P803" s="15"/>
      <c r="Q803" s="11"/>
      <c r="R803" s="11"/>
      <c r="S803" s="11"/>
      <c r="T803" s="11"/>
      <c r="U803" s="15"/>
      <c r="V803" s="11"/>
      <c r="W803" s="11"/>
      <c r="X803" s="11"/>
      <c r="Y803" s="11"/>
      <c r="Z803" s="11"/>
    </row>
    <row r="804">
      <c r="A804" s="18"/>
      <c r="B804" s="11"/>
      <c r="C804" s="11"/>
      <c r="D804" s="11"/>
      <c r="E804" s="11"/>
      <c r="F804" s="11"/>
      <c r="G804" s="11"/>
      <c r="H804" s="11"/>
      <c r="I804" s="11"/>
      <c r="J804" s="11"/>
      <c r="K804" s="11"/>
      <c r="L804" s="15"/>
      <c r="M804" s="15"/>
      <c r="N804" s="15"/>
      <c r="O804" s="15"/>
      <c r="P804" s="15"/>
      <c r="Q804" s="11"/>
      <c r="R804" s="11"/>
      <c r="S804" s="11"/>
      <c r="T804" s="11"/>
      <c r="U804" s="15"/>
      <c r="V804" s="11"/>
      <c r="W804" s="11"/>
      <c r="X804" s="11"/>
      <c r="Y804" s="11"/>
      <c r="Z804" s="11"/>
    </row>
    <row r="805">
      <c r="A805" s="18"/>
      <c r="B805" s="11"/>
      <c r="C805" s="11"/>
      <c r="D805" s="11"/>
      <c r="E805" s="11"/>
      <c r="F805" s="11"/>
      <c r="G805" s="11"/>
      <c r="H805" s="11"/>
      <c r="I805" s="11"/>
      <c r="J805" s="11"/>
      <c r="K805" s="11"/>
      <c r="L805" s="15"/>
      <c r="M805" s="15"/>
      <c r="N805" s="15"/>
      <c r="O805" s="15"/>
      <c r="P805" s="15"/>
      <c r="Q805" s="11"/>
      <c r="R805" s="11"/>
      <c r="S805" s="11"/>
      <c r="T805" s="11"/>
      <c r="U805" s="15"/>
      <c r="V805" s="11"/>
      <c r="W805" s="11"/>
      <c r="X805" s="11"/>
      <c r="Y805" s="11"/>
      <c r="Z805" s="11"/>
    </row>
    <row r="806">
      <c r="A806" s="18"/>
      <c r="B806" s="11"/>
      <c r="C806" s="11"/>
      <c r="D806" s="11"/>
      <c r="E806" s="11"/>
      <c r="F806" s="11"/>
      <c r="G806" s="11"/>
      <c r="H806" s="11"/>
      <c r="I806" s="11"/>
      <c r="J806" s="11"/>
      <c r="K806" s="11"/>
      <c r="L806" s="15"/>
      <c r="M806" s="15"/>
      <c r="N806" s="15"/>
      <c r="O806" s="15"/>
      <c r="P806" s="15"/>
      <c r="Q806" s="11"/>
      <c r="R806" s="11"/>
      <c r="S806" s="11"/>
      <c r="T806" s="11"/>
      <c r="U806" s="15"/>
      <c r="V806" s="11"/>
      <c r="W806" s="11"/>
      <c r="X806" s="11"/>
      <c r="Y806" s="11"/>
      <c r="Z806" s="11"/>
    </row>
    <row r="807">
      <c r="A807" s="18"/>
      <c r="B807" s="11"/>
      <c r="C807" s="11"/>
      <c r="D807" s="11"/>
      <c r="E807" s="11"/>
      <c r="F807" s="11"/>
      <c r="G807" s="11"/>
      <c r="H807" s="11"/>
      <c r="I807" s="11"/>
      <c r="J807" s="11"/>
      <c r="K807" s="11"/>
      <c r="L807" s="15"/>
      <c r="M807" s="15"/>
      <c r="N807" s="15"/>
      <c r="O807" s="15"/>
      <c r="P807" s="15"/>
      <c r="Q807" s="11"/>
      <c r="R807" s="11"/>
      <c r="S807" s="11"/>
      <c r="T807" s="11"/>
      <c r="U807" s="15"/>
      <c r="V807" s="11"/>
      <c r="W807" s="11"/>
      <c r="X807" s="11"/>
      <c r="Y807" s="11"/>
      <c r="Z807" s="11"/>
    </row>
    <row r="808">
      <c r="A808" s="18"/>
      <c r="B808" s="11"/>
      <c r="C808" s="11"/>
      <c r="D808" s="11"/>
      <c r="E808" s="11"/>
      <c r="F808" s="11"/>
      <c r="G808" s="11"/>
      <c r="H808" s="11"/>
      <c r="I808" s="11"/>
      <c r="J808" s="11"/>
      <c r="K808" s="11"/>
      <c r="L808" s="15"/>
      <c r="M808" s="15"/>
      <c r="N808" s="15"/>
      <c r="O808" s="15"/>
      <c r="P808" s="15"/>
      <c r="Q808" s="11"/>
      <c r="R808" s="11"/>
      <c r="S808" s="11"/>
      <c r="T808" s="11"/>
      <c r="U808" s="15"/>
      <c r="V808" s="11"/>
      <c r="W808" s="11"/>
      <c r="X808" s="11"/>
      <c r="Y808" s="11"/>
      <c r="Z808" s="11"/>
    </row>
    <row r="809">
      <c r="A809" s="18"/>
      <c r="B809" s="11"/>
      <c r="C809" s="11"/>
      <c r="D809" s="11"/>
      <c r="E809" s="11"/>
      <c r="F809" s="11"/>
      <c r="G809" s="11"/>
      <c r="H809" s="11"/>
      <c r="I809" s="11"/>
      <c r="J809" s="11"/>
      <c r="K809" s="11"/>
      <c r="L809" s="15"/>
      <c r="M809" s="15"/>
      <c r="N809" s="15"/>
      <c r="O809" s="15"/>
      <c r="P809" s="15"/>
      <c r="Q809" s="11"/>
      <c r="R809" s="11"/>
      <c r="S809" s="11"/>
      <c r="T809" s="11"/>
      <c r="U809" s="15"/>
      <c r="V809" s="11"/>
      <c r="W809" s="11"/>
      <c r="X809" s="11"/>
      <c r="Y809" s="11"/>
      <c r="Z809" s="11"/>
    </row>
    <row r="810">
      <c r="A810" s="18"/>
      <c r="B810" s="11"/>
      <c r="C810" s="11"/>
      <c r="D810" s="11"/>
      <c r="E810" s="11"/>
      <c r="F810" s="11"/>
      <c r="G810" s="11"/>
      <c r="H810" s="11"/>
      <c r="I810" s="11"/>
      <c r="J810" s="11"/>
      <c r="K810" s="11"/>
      <c r="L810" s="15"/>
      <c r="M810" s="15"/>
      <c r="N810" s="15"/>
      <c r="O810" s="15"/>
      <c r="P810" s="15"/>
      <c r="Q810" s="11"/>
      <c r="R810" s="11"/>
      <c r="S810" s="11"/>
      <c r="T810" s="11"/>
      <c r="U810" s="15"/>
      <c r="V810" s="11"/>
      <c r="W810" s="11"/>
      <c r="X810" s="11"/>
      <c r="Y810" s="11"/>
      <c r="Z810" s="11"/>
    </row>
    <row r="811">
      <c r="A811" s="18"/>
      <c r="B811" s="11"/>
      <c r="C811" s="11"/>
      <c r="D811" s="11"/>
      <c r="E811" s="11"/>
      <c r="F811" s="11"/>
      <c r="G811" s="11"/>
      <c r="H811" s="11"/>
      <c r="I811" s="11"/>
      <c r="J811" s="11"/>
      <c r="K811" s="11"/>
      <c r="L811" s="15"/>
      <c r="M811" s="15"/>
      <c r="N811" s="15"/>
      <c r="O811" s="15"/>
      <c r="P811" s="15"/>
      <c r="Q811" s="11"/>
      <c r="R811" s="11"/>
      <c r="S811" s="11"/>
      <c r="T811" s="11"/>
      <c r="U811" s="15"/>
      <c r="V811" s="11"/>
      <c r="W811" s="11"/>
      <c r="X811" s="11"/>
      <c r="Y811" s="11"/>
      <c r="Z811" s="11"/>
    </row>
    <row r="812">
      <c r="A812" s="18"/>
      <c r="B812" s="11"/>
      <c r="C812" s="11"/>
      <c r="D812" s="11"/>
      <c r="E812" s="11"/>
      <c r="F812" s="11"/>
      <c r="G812" s="11"/>
      <c r="H812" s="11"/>
      <c r="I812" s="11"/>
      <c r="J812" s="11"/>
      <c r="K812" s="11"/>
      <c r="L812" s="15"/>
      <c r="M812" s="15"/>
      <c r="N812" s="15"/>
      <c r="O812" s="15"/>
      <c r="P812" s="15"/>
      <c r="Q812" s="11"/>
      <c r="R812" s="11"/>
      <c r="S812" s="11"/>
      <c r="T812" s="11"/>
      <c r="U812" s="15"/>
      <c r="V812" s="11"/>
      <c r="W812" s="11"/>
      <c r="X812" s="11"/>
      <c r="Y812" s="11"/>
      <c r="Z812" s="11"/>
    </row>
    <row r="813">
      <c r="A813" s="18"/>
      <c r="B813" s="11"/>
      <c r="C813" s="11"/>
      <c r="D813" s="11"/>
      <c r="E813" s="11"/>
      <c r="F813" s="11"/>
      <c r="G813" s="11"/>
      <c r="H813" s="11"/>
      <c r="I813" s="11"/>
      <c r="J813" s="11"/>
      <c r="K813" s="11"/>
      <c r="L813" s="15"/>
      <c r="M813" s="15"/>
      <c r="N813" s="15"/>
      <c r="O813" s="15"/>
      <c r="P813" s="15"/>
      <c r="Q813" s="11"/>
      <c r="R813" s="11"/>
      <c r="S813" s="11"/>
      <c r="T813" s="11"/>
      <c r="U813" s="15"/>
      <c r="V813" s="11"/>
      <c r="W813" s="11"/>
      <c r="X813" s="11"/>
      <c r="Y813" s="11"/>
      <c r="Z813" s="11"/>
    </row>
    <row r="814">
      <c r="A814" s="18"/>
      <c r="B814" s="11"/>
      <c r="C814" s="11"/>
      <c r="D814" s="11"/>
      <c r="E814" s="11"/>
      <c r="F814" s="11"/>
      <c r="G814" s="11"/>
      <c r="H814" s="11"/>
      <c r="I814" s="11"/>
      <c r="J814" s="11"/>
      <c r="K814" s="11"/>
      <c r="L814" s="15"/>
      <c r="M814" s="15"/>
      <c r="N814" s="15"/>
      <c r="O814" s="15"/>
      <c r="P814" s="15"/>
      <c r="Q814" s="11"/>
      <c r="R814" s="11"/>
      <c r="S814" s="11"/>
      <c r="T814" s="11"/>
      <c r="U814" s="15"/>
      <c r="V814" s="11"/>
      <c r="W814" s="11"/>
      <c r="X814" s="11"/>
      <c r="Y814" s="11"/>
      <c r="Z814" s="11"/>
    </row>
    <row r="815">
      <c r="A815" s="18"/>
      <c r="B815" s="11"/>
      <c r="C815" s="11"/>
      <c r="D815" s="11"/>
      <c r="E815" s="11"/>
      <c r="F815" s="11"/>
      <c r="G815" s="11"/>
      <c r="H815" s="11"/>
      <c r="I815" s="11"/>
      <c r="J815" s="11"/>
      <c r="K815" s="11"/>
      <c r="L815" s="15"/>
      <c r="M815" s="15"/>
      <c r="N815" s="15"/>
      <c r="O815" s="15"/>
      <c r="P815" s="15"/>
      <c r="Q815" s="11"/>
      <c r="R815" s="11"/>
      <c r="S815" s="11"/>
      <c r="T815" s="11"/>
      <c r="U815" s="15"/>
      <c r="V815" s="11"/>
      <c r="W815" s="11"/>
      <c r="X815" s="11"/>
      <c r="Y815" s="11"/>
      <c r="Z815" s="11"/>
    </row>
    <row r="816">
      <c r="A816" s="18"/>
      <c r="B816" s="11"/>
      <c r="C816" s="11"/>
      <c r="D816" s="11"/>
      <c r="E816" s="11"/>
      <c r="F816" s="11"/>
      <c r="G816" s="11"/>
      <c r="H816" s="11"/>
      <c r="I816" s="11"/>
      <c r="J816" s="11"/>
      <c r="K816" s="11"/>
      <c r="L816" s="15"/>
      <c r="M816" s="15"/>
      <c r="N816" s="15"/>
      <c r="O816" s="15"/>
      <c r="P816" s="15"/>
      <c r="Q816" s="11"/>
      <c r="R816" s="11"/>
      <c r="S816" s="11"/>
      <c r="T816" s="11"/>
      <c r="U816" s="15"/>
      <c r="V816" s="11"/>
      <c r="W816" s="11"/>
      <c r="X816" s="11"/>
      <c r="Y816" s="11"/>
      <c r="Z816" s="11"/>
    </row>
    <row r="817">
      <c r="A817" s="18"/>
      <c r="B817" s="11"/>
      <c r="C817" s="11"/>
      <c r="D817" s="11"/>
      <c r="E817" s="11"/>
      <c r="F817" s="11"/>
      <c r="G817" s="11"/>
      <c r="H817" s="11"/>
      <c r="I817" s="11"/>
      <c r="J817" s="11"/>
      <c r="K817" s="11"/>
      <c r="L817" s="15"/>
      <c r="M817" s="15"/>
      <c r="N817" s="15"/>
      <c r="O817" s="15"/>
      <c r="P817" s="15"/>
      <c r="Q817" s="11"/>
      <c r="R817" s="11"/>
      <c r="S817" s="11"/>
      <c r="T817" s="11"/>
      <c r="U817" s="15"/>
      <c r="V817" s="11"/>
      <c r="W817" s="11"/>
      <c r="X817" s="11"/>
      <c r="Y817" s="11"/>
      <c r="Z817" s="11"/>
    </row>
    <row r="818">
      <c r="A818" s="18"/>
      <c r="B818" s="11"/>
      <c r="C818" s="11"/>
      <c r="D818" s="11"/>
      <c r="E818" s="11"/>
      <c r="F818" s="11"/>
      <c r="G818" s="11"/>
      <c r="H818" s="11"/>
      <c r="I818" s="11"/>
      <c r="J818" s="11"/>
      <c r="K818" s="11"/>
      <c r="L818" s="15"/>
      <c r="M818" s="15"/>
      <c r="N818" s="15"/>
      <c r="O818" s="15"/>
      <c r="P818" s="15"/>
      <c r="Q818" s="11"/>
      <c r="R818" s="11"/>
      <c r="S818" s="11"/>
      <c r="T818" s="11"/>
      <c r="U818" s="15"/>
      <c r="V818" s="11"/>
      <c r="W818" s="11"/>
      <c r="X818" s="11"/>
      <c r="Y818" s="11"/>
      <c r="Z818" s="11"/>
    </row>
    <row r="819">
      <c r="A819" s="18"/>
      <c r="B819" s="11"/>
      <c r="C819" s="11"/>
      <c r="D819" s="11"/>
      <c r="E819" s="11"/>
      <c r="F819" s="11"/>
      <c r="G819" s="11"/>
      <c r="H819" s="11"/>
      <c r="I819" s="11"/>
      <c r="J819" s="11"/>
      <c r="K819" s="11"/>
      <c r="L819" s="15"/>
      <c r="M819" s="15"/>
      <c r="N819" s="15"/>
      <c r="O819" s="15"/>
      <c r="P819" s="15"/>
      <c r="Q819" s="11"/>
      <c r="R819" s="11"/>
      <c r="S819" s="11"/>
      <c r="T819" s="11"/>
      <c r="U819" s="15"/>
      <c r="V819" s="11"/>
      <c r="W819" s="11"/>
      <c r="X819" s="11"/>
      <c r="Y819" s="11"/>
      <c r="Z819" s="11"/>
    </row>
    <row r="820">
      <c r="A820" s="18"/>
      <c r="B820" s="11"/>
      <c r="C820" s="11"/>
      <c r="D820" s="11"/>
      <c r="E820" s="11"/>
      <c r="F820" s="11"/>
      <c r="G820" s="11"/>
      <c r="H820" s="11"/>
      <c r="I820" s="11"/>
      <c r="J820" s="11"/>
      <c r="K820" s="11"/>
      <c r="L820" s="15"/>
      <c r="M820" s="15"/>
      <c r="N820" s="15"/>
      <c r="O820" s="15"/>
      <c r="P820" s="15"/>
      <c r="Q820" s="11"/>
      <c r="R820" s="11"/>
      <c r="S820" s="11"/>
      <c r="T820" s="11"/>
      <c r="U820" s="15"/>
      <c r="V820" s="11"/>
      <c r="W820" s="11"/>
      <c r="X820" s="11"/>
      <c r="Y820" s="11"/>
      <c r="Z820" s="11"/>
    </row>
    <row r="821">
      <c r="A821" s="18"/>
      <c r="B821" s="11"/>
      <c r="C821" s="11"/>
      <c r="D821" s="11"/>
      <c r="E821" s="11"/>
      <c r="F821" s="11"/>
      <c r="G821" s="11"/>
      <c r="H821" s="11"/>
      <c r="I821" s="11"/>
      <c r="J821" s="11"/>
      <c r="K821" s="11"/>
      <c r="L821" s="15"/>
      <c r="M821" s="15"/>
      <c r="N821" s="15"/>
      <c r="O821" s="15"/>
      <c r="P821" s="15"/>
      <c r="Q821" s="11"/>
      <c r="R821" s="11"/>
      <c r="S821" s="11"/>
      <c r="T821" s="11"/>
      <c r="U821" s="15"/>
      <c r="V821" s="11"/>
      <c r="W821" s="11"/>
      <c r="X821" s="11"/>
      <c r="Y821" s="11"/>
      <c r="Z821" s="11"/>
    </row>
    <row r="822">
      <c r="A822" s="18"/>
      <c r="B822" s="11"/>
      <c r="C822" s="11"/>
      <c r="D822" s="11"/>
      <c r="E822" s="11"/>
      <c r="F822" s="11"/>
      <c r="G822" s="11"/>
      <c r="H822" s="11"/>
      <c r="I822" s="11"/>
      <c r="J822" s="11"/>
      <c r="K822" s="11"/>
      <c r="L822" s="15"/>
      <c r="M822" s="15"/>
      <c r="N822" s="15"/>
      <c r="O822" s="15"/>
      <c r="P822" s="15"/>
      <c r="Q822" s="11"/>
      <c r="R822" s="11"/>
      <c r="S822" s="11"/>
      <c r="T822" s="11"/>
      <c r="U822" s="15"/>
      <c r="V822" s="11"/>
      <c r="W822" s="11"/>
      <c r="X822" s="11"/>
      <c r="Y822" s="11"/>
      <c r="Z822" s="11"/>
    </row>
    <row r="823">
      <c r="A823" s="18"/>
      <c r="B823" s="11"/>
      <c r="C823" s="11"/>
      <c r="D823" s="11"/>
      <c r="E823" s="11"/>
      <c r="F823" s="11"/>
      <c r="G823" s="11"/>
      <c r="H823" s="11"/>
      <c r="I823" s="11"/>
      <c r="J823" s="11"/>
      <c r="K823" s="11"/>
      <c r="L823" s="15"/>
      <c r="M823" s="15"/>
      <c r="N823" s="15"/>
      <c r="O823" s="15"/>
      <c r="P823" s="15"/>
      <c r="Q823" s="11"/>
      <c r="R823" s="11"/>
      <c r="S823" s="11"/>
      <c r="T823" s="11"/>
      <c r="U823" s="15"/>
      <c r="V823" s="11"/>
      <c r="W823" s="11"/>
      <c r="X823" s="11"/>
      <c r="Y823" s="11"/>
      <c r="Z823" s="11"/>
    </row>
    <row r="824">
      <c r="A824" s="18"/>
      <c r="B824" s="11"/>
      <c r="C824" s="11"/>
      <c r="D824" s="11"/>
      <c r="E824" s="11"/>
      <c r="F824" s="11"/>
      <c r="G824" s="11"/>
      <c r="H824" s="11"/>
      <c r="I824" s="11"/>
      <c r="J824" s="11"/>
      <c r="K824" s="11"/>
      <c r="L824" s="15"/>
      <c r="M824" s="15"/>
      <c r="N824" s="15"/>
      <c r="O824" s="15"/>
      <c r="P824" s="15"/>
      <c r="Q824" s="11"/>
      <c r="R824" s="11"/>
      <c r="S824" s="11"/>
      <c r="T824" s="11"/>
      <c r="U824" s="15"/>
      <c r="V824" s="11"/>
      <c r="W824" s="11"/>
      <c r="X824" s="11"/>
      <c r="Y824" s="11"/>
      <c r="Z824" s="11"/>
    </row>
    <row r="825">
      <c r="A825" s="18"/>
      <c r="B825" s="11"/>
      <c r="C825" s="11"/>
      <c r="D825" s="11"/>
      <c r="E825" s="11"/>
      <c r="F825" s="11"/>
      <c r="G825" s="11"/>
      <c r="H825" s="11"/>
      <c r="I825" s="11"/>
      <c r="J825" s="11"/>
      <c r="K825" s="11"/>
      <c r="L825" s="15"/>
      <c r="M825" s="15"/>
      <c r="N825" s="15"/>
      <c r="O825" s="15"/>
      <c r="P825" s="15"/>
      <c r="Q825" s="11"/>
      <c r="R825" s="11"/>
      <c r="S825" s="11"/>
      <c r="T825" s="11"/>
      <c r="U825" s="15"/>
      <c r="V825" s="11"/>
      <c r="W825" s="11"/>
      <c r="X825" s="11"/>
      <c r="Y825" s="11"/>
      <c r="Z825" s="11"/>
    </row>
    <row r="826">
      <c r="A826" s="18"/>
      <c r="B826" s="11"/>
      <c r="C826" s="11"/>
      <c r="D826" s="11"/>
      <c r="E826" s="11"/>
      <c r="F826" s="11"/>
      <c r="G826" s="11"/>
      <c r="H826" s="11"/>
      <c r="I826" s="11"/>
      <c r="J826" s="11"/>
      <c r="K826" s="11"/>
      <c r="L826" s="15"/>
      <c r="M826" s="15"/>
      <c r="N826" s="15"/>
      <c r="O826" s="15"/>
      <c r="P826" s="15"/>
      <c r="Q826" s="11"/>
      <c r="R826" s="11"/>
      <c r="S826" s="11"/>
      <c r="T826" s="11"/>
      <c r="U826" s="15"/>
      <c r="V826" s="11"/>
      <c r="W826" s="11"/>
      <c r="X826" s="11"/>
      <c r="Y826" s="11"/>
      <c r="Z826" s="11"/>
    </row>
    <row r="827">
      <c r="A827" s="18"/>
      <c r="B827" s="11"/>
      <c r="C827" s="11"/>
      <c r="D827" s="11"/>
      <c r="E827" s="11"/>
      <c r="F827" s="11"/>
      <c r="G827" s="11"/>
      <c r="H827" s="11"/>
      <c r="I827" s="11"/>
      <c r="J827" s="11"/>
      <c r="K827" s="11"/>
      <c r="L827" s="15"/>
      <c r="M827" s="15"/>
      <c r="N827" s="15"/>
      <c r="O827" s="15"/>
      <c r="P827" s="15"/>
      <c r="Q827" s="11"/>
      <c r="R827" s="11"/>
      <c r="S827" s="11"/>
      <c r="T827" s="11"/>
      <c r="U827" s="15"/>
      <c r="V827" s="11"/>
      <c r="W827" s="11"/>
      <c r="X827" s="11"/>
      <c r="Y827" s="11"/>
      <c r="Z827" s="11"/>
    </row>
    <row r="828">
      <c r="A828" s="18"/>
      <c r="B828" s="11"/>
      <c r="C828" s="11"/>
      <c r="D828" s="11"/>
      <c r="E828" s="11"/>
      <c r="F828" s="11"/>
      <c r="G828" s="11"/>
      <c r="H828" s="11"/>
      <c r="I828" s="11"/>
      <c r="J828" s="11"/>
      <c r="K828" s="11"/>
      <c r="L828" s="15"/>
      <c r="M828" s="15"/>
      <c r="N828" s="15"/>
      <c r="O828" s="15"/>
      <c r="P828" s="15"/>
      <c r="Q828" s="11"/>
      <c r="R828" s="11"/>
      <c r="S828" s="11"/>
      <c r="T828" s="11"/>
      <c r="U828" s="15"/>
      <c r="V828" s="11"/>
      <c r="W828" s="11"/>
      <c r="X828" s="11"/>
      <c r="Y828" s="11"/>
      <c r="Z828" s="11"/>
    </row>
    <row r="829">
      <c r="A829" s="18"/>
      <c r="B829" s="11"/>
      <c r="C829" s="11"/>
      <c r="D829" s="11"/>
      <c r="E829" s="11"/>
      <c r="F829" s="11"/>
      <c r="G829" s="11"/>
      <c r="H829" s="11"/>
      <c r="I829" s="11"/>
      <c r="J829" s="11"/>
      <c r="K829" s="11"/>
      <c r="L829" s="15"/>
      <c r="M829" s="15"/>
      <c r="N829" s="15"/>
      <c r="O829" s="15"/>
      <c r="P829" s="15"/>
      <c r="Q829" s="11"/>
      <c r="R829" s="11"/>
      <c r="S829" s="11"/>
      <c r="T829" s="11"/>
      <c r="U829" s="15"/>
      <c r="V829" s="11"/>
      <c r="W829" s="11"/>
      <c r="X829" s="11"/>
      <c r="Y829" s="11"/>
      <c r="Z829" s="11"/>
    </row>
    <row r="830">
      <c r="A830" s="18"/>
      <c r="B830" s="11"/>
      <c r="C830" s="11"/>
      <c r="D830" s="11"/>
      <c r="E830" s="11"/>
      <c r="F830" s="11"/>
      <c r="G830" s="11"/>
      <c r="H830" s="11"/>
      <c r="I830" s="11"/>
      <c r="J830" s="11"/>
      <c r="K830" s="11"/>
      <c r="L830" s="15"/>
      <c r="M830" s="15"/>
      <c r="N830" s="15"/>
      <c r="O830" s="15"/>
      <c r="P830" s="15"/>
      <c r="Q830" s="11"/>
      <c r="R830" s="11"/>
      <c r="S830" s="11"/>
      <c r="T830" s="11"/>
      <c r="U830" s="15"/>
      <c r="V830" s="11"/>
      <c r="W830" s="11"/>
      <c r="X830" s="11"/>
      <c r="Y830" s="11"/>
      <c r="Z830" s="11"/>
    </row>
    <row r="831">
      <c r="A831" s="18"/>
      <c r="B831" s="11"/>
      <c r="C831" s="11"/>
      <c r="D831" s="11"/>
      <c r="E831" s="11"/>
      <c r="F831" s="11"/>
      <c r="G831" s="11"/>
      <c r="H831" s="11"/>
      <c r="I831" s="11"/>
      <c r="J831" s="11"/>
      <c r="K831" s="11"/>
      <c r="L831" s="15"/>
      <c r="M831" s="15"/>
      <c r="N831" s="15"/>
      <c r="O831" s="15"/>
      <c r="P831" s="15"/>
      <c r="Q831" s="11"/>
      <c r="R831" s="11"/>
      <c r="S831" s="11"/>
      <c r="T831" s="11"/>
      <c r="U831" s="15"/>
      <c r="V831" s="11"/>
      <c r="W831" s="11"/>
      <c r="X831" s="11"/>
      <c r="Y831" s="11"/>
      <c r="Z831" s="11"/>
    </row>
    <row r="832">
      <c r="A832" s="18"/>
      <c r="B832" s="11"/>
      <c r="C832" s="11"/>
      <c r="D832" s="11"/>
      <c r="E832" s="11"/>
      <c r="F832" s="11"/>
      <c r="G832" s="11"/>
      <c r="H832" s="11"/>
      <c r="I832" s="11"/>
      <c r="J832" s="11"/>
      <c r="K832" s="11"/>
      <c r="L832" s="15"/>
      <c r="M832" s="15"/>
      <c r="N832" s="15"/>
      <c r="O832" s="15"/>
      <c r="P832" s="15"/>
      <c r="Q832" s="11"/>
      <c r="R832" s="11"/>
      <c r="S832" s="11"/>
      <c r="T832" s="11"/>
      <c r="U832" s="15"/>
      <c r="V832" s="11"/>
      <c r="W832" s="11"/>
      <c r="X832" s="11"/>
      <c r="Y832" s="11"/>
      <c r="Z832" s="11"/>
    </row>
    <row r="833">
      <c r="A833" s="18"/>
      <c r="B833" s="11"/>
      <c r="C833" s="11"/>
      <c r="D833" s="11"/>
      <c r="E833" s="11"/>
      <c r="F833" s="11"/>
      <c r="G833" s="11"/>
      <c r="H833" s="11"/>
      <c r="I833" s="11"/>
      <c r="J833" s="11"/>
      <c r="K833" s="11"/>
      <c r="L833" s="15"/>
      <c r="M833" s="15"/>
      <c r="N833" s="15"/>
      <c r="O833" s="15"/>
      <c r="P833" s="15"/>
      <c r="Q833" s="11"/>
      <c r="R833" s="11"/>
      <c r="S833" s="11"/>
      <c r="T833" s="11"/>
      <c r="U833" s="15"/>
      <c r="V833" s="11"/>
      <c r="W833" s="11"/>
      <c r="X833" s="11"/>
      <c r="Y833" s="11"/>
      <c r="Z833" s="11"/>
    </row>
    <row r="834">
      <c r="A834" s="18"/>
      <c r="B834" s="11"/>
      <c r="C834" s="11"/>
      <c r="D834" s="11"/>
      <c r="E834" s="11"/>
      <c r="F834" s="11"/>
      <c r="G834" s="11"/>
      <c r="H834" s="11"/>
      <c r="I834" s="11"/>
      <c r="J834" s="11"/>
      <c r="K834" s="11"/>
      <c r="L834" s="15"/>
      <c r="M834" s="15"/>
      <c r="N834" s="15"/>
      <c r="O834" s="15"/>
      <c r="P834" s="15"/>
      <c r="Q834" s="11"/>
      <c r="R834" s="11"/>
      <c r="S834" s="11"/>
      <c r="T834" s="11"/>
      <c r="U834" s="15"/>
      <c r="V834" s="11"/>
      <c r="W834" s="11"/>
      <c r="X834" s="11"/>
      <c r="Y834" s="11"/>
      <c r="Z834" s="11"/>
    </row>
    <row r="835">
      <c r="A835" s="18"/>
      <c r="B835" s="11"/>
      <c r="C835" s="11"/>
      <c r="D835" s="11"/>
      <c r="E835" s="11"/>
      <c r="F835" s="11"/>
      <c r="G835" s="11"/>
      <c r="H835" s="11"/>
      <c r="I835" s="11"/>
      <c r="J835" s="11"/>
      <c r="K835" s="11"/>
      <c r="L835" s="15"/>
      <c r="M835" s="15"/>
      <c r="N835" s="15"/>
      <c r="O835" s="15"/>
      <c r="P835" s="15"/>
      <c r="Q835" s="11"/>
      <c r="R835" s="11"/>
      <c r="S835" s="11"/>
      <c r="T835" s="11"/>
      <c r="U835" s="15"/>
      <c r="V835" s="11"/>
      <c r="W835" s="11"/>
      <c r="X835" s="11"/>
      <c r="Y835" s="11"/>
      <c r="Z835" s="11"/>
    </row>
    <row r="836">
      <c r="A836" s="18"/>
      <c r="B836" s="11"/>
      <c r="C836" s="11"/>
      <c r="D836" s="11"/>
      <c r="E836" s="11"/>
      <c r="F836" s="11"/>
      <c r="G836" s="11"/>
      <c r="H836" s="11"/>
      <c r="I836" s="11"/>
      <c r="J836" s="11"/>
      <c r="K836" s="11"/>
      <c r="L836" s="15"/>
      <c r="M836" s="15"/>
      <c r="N836" s="15"/>
      <c r="O836" s="15"/>
      <c r="P836" s="15"/>
      <c r="Q836" s="11"/>
      <c r="R836" s="11"/>
      <c r="S836" s="11"/>
      <c r="T836" s="11"/>
      <c r="U836" s="15"/>
      <c r="V836" s="11"/>
      <c r="W836" s="11"/>
      <c r="X836" s="11"/>
      <c r="Y836" s="11"/>
      <c r="Z836" s="11"/>
    </row>
    <row r="837">
      <c r="A837" s="18"/>
      <c r="B837" s="11"/>
      <c r="C837" s="11"/>
      <c r="D837" s="11"/>
      <c r="E837" s="11"/>
      <c r="F837" s="11"/>
      <c r="G837" s="11"/>
      <c r="H837" s="11"/>
      <c r="I837" s="11"/>
      <c r="J837" s="11"/>
      <c r="K837" s="11"/>
      <c r="L837" s="15"/>
      <c r="M837" s="15"/>
      <c r="N837" s="15"/>
      <c r="O837" s="15"/>
      <c r="P837" s="15"/>
      <c r="Q837" s="11"/>
      <c r="R837" s="11"/>
      <c r="S837" s="11"/>
      <c r="T837" s="11"/>
      <c r="U837" s="15"/>
      <c r="V837" s="11"/>
      <c r="W837" s="11"/>
      <c r="X837" s="11"/>
      <c r="Y837" s="11"/>
      <c r="Z837" s="11"/>
    </row>
    <row r="838">
      <c r="A838" s="18"/>
      <c r="B838" s="11"/>
      <c r="C838" s="11"/>
      <c r="D838" s="11"/>
      <c r="E838" s="11"/>
      <c r="F838" s="11"/>
      <c r="G838" s="11"/>
      <c r="H838" s="11"/>
      <c r="I838" s="11"/>
      <c r="J838" s="11"/>
      <c r="K838" s="11"/>
      <c r="L838" s="15"/>
      <c r="M838" s="15"/>
      <c r="N838" s="15"/>
      <c r="O838" s="15"/>
      <c r="P838" s="15"/>
      <c r="Q838" s="11"/>
      <c r="R838" s="11"/>
      <c r="S838" s="11"/>
      <c r="T838" s="11"/>
      <c r="U838" s="15"/>
      <c r="V838" s="11"/>
      <c r="W838" s="11"/>
      <c r="X838" s="11"/>
      <c r="Y838" s="11"/>
      <c r="Z838" s="11"/>
    </row>
    <row r="839">
      <c r="A839" s="18"/>
      <c r="B839" s="11"/>
      <c r="C839" s="11"/>
      <c r="D839" s="11"/>
      <c r="E839" s="11"/>
      <c r="F839" s="11"/>
      <c r="G839" s="11"/>
      <c r="H839" s="11"/>
      <c r="I839" s="11"/>
      <c r="J839" s="11"/>
      <c r="K839" s="11"/>
      <c r="L839" s="15"/>
      <c r="M839" s="15"/>
      <c r="N839" s="15"/>
      <c r="O839" s="15"/>
      <c r="P839" s="15"/>
      <c r="Q839" s="11"/>
      <c r="R839" s="11"/>
      <c r="S839" s="11"/>
      <c r="T839" s="11"/>
      <c r="U839" s="15"/>
      <c r="V839" s="11"/>
      <c r="W839" s="11"/>
      <c r="X839" s="11"/>
      <c r="Y839" s="11"/>
      <c r="Z839" s="11"/>
    </row>
    <row r="840">
      <c r="A840" s="18"/>
      <c r="B840" s="11"/>
      <c r="C840" s="11"/>
      <c r="D840" s="11"/>
      <c r="E840" s="11"/>
      <c r="F840" s="11"/>
      <c r="G840" s="11"/>
      <c r="H840" s="11"/>
      <c r="I840" s="11"/>
      <c r="J840" s="11"/>
      <c r="K840" s="11"/>
      <c r="L840" s="15"/>
      <c r="M840" s="15"/>
      <c r="N840" s="15"/>
      <c r="O840" s="15"/>
      <c r="P840" s="15"/>
      <c r="Q840" s="11"/>
      <c r="R840" s="11"/>
      <c r="S840" s="11"/>
      <c r="T840" s="11"/>
      <c r="U840" s="15"/>
      <c r="V840" s="11"/>
      <c r="W840" s="11"/>
      <c r="X840" s="11"/>
      <c r="Y840" s="11"/>
      <c r="Z840" s="11"/>
    </row>
    <row r="841">
      <c r="A841" s="18"/>
      <c r="B841" s="11"/>
      <c r="C841" s="11"/>
      <c r="D841" s="11"/>
      <c r="E841" s="11"/>
      <c r="F841" s="11"/>
      <c r="G841" s="11"/>
      <c r="H841" s="11"/>
      <c r="I841" s="11"/>
      <c r="J841" s="11"/>
      <c r="K841" s="11"/>
      <c r="L841" s="15"/>
      <c r="M841" s="15"/>
      <c r="N841" s="15"/>
      <c r="O841" s="15"/>
      <c r="P841" s="15"/>
      <c r="Q841" s="11"/>
      <c r="R841" s="11"/>
      <c r="S841" s="11"/>
      <c r="T841" s="11"/>
      <c r="U841" s="15"/>
      <c r="V841" s="11"/>
      <c r="W841" s="11"/>
      <c r="X841" s="11"/>
      <c r="Y841" s="11"/>
      <c r="Z841" s="11"/>
    </row>
    <row r="842">
      <c r="A842" s="18"/>
      <c r="B842" s="11"/>
      <c r="C842" s="11"/>
      <c r="D842" s="11"/>
      <c r="E842" s="11"/>
      <c r="F842" s="11"/>
      <c r="G842" s="11"/>
      <c r="H842" s="11"/>
      <c r="I842" s="11"/>
      <c r="J842" s="11"/>
      <c r="K842" s="11"/>
      <c r="L842" s="15"/>
      <c r="M842" s="15"/>
      <c r="N842" s="15"/>
      <c r="O842" s="15"/>
      <c r="P842" s="15"/>
      <c r="Q842" s="11"/>
      <c r="R842" s="11"/>
      <c r="S842" s="11"/>
      <c r="T842" s="11"/>
      <c r="U842" s="15"/>
      <c r="V842" s="11"/>
      <c r="W842" s="11"/>
      <c r="X842" s="11"/>
      <c r="Y842" s="11"/>
      <c r="Z842" s="11"/>
    </row>
    <row r="843">
      <c r="A843" s="18"/>
      <c r="B843" s="11"/>
      <c r="C843" s="11"/>
      <c r="D843" s="11"/>
      <c r="E843" s="11"/>
      <c r="F843" s="11"/>
      <c r="G843" s="11"/>
      <c r="H843" s="11"/>
      <c r="I843" s="11"/>
      <c r="J843" s="11"/>
      <c r="K843" s="11"/>
      <c r="L843" s="15"/>
      <c r="M843" s="15"/>
      <c r="N843" s="15"/>
      <c r="O843" s="15"/>
      <c r="P843" s="15"/>
      <c r="Q843" s="11"/>
      <c r="R843" s="11"/>
      <c r="S843" s="11"/>
      <c r="T843" s="11"/>
      <c r="U843" s="15"/>
      <c r="V843" s="11"/>
      <c r="W843" s="11"/>
      <c r="X843" s="11"/>
      <c r="Y843" s="11"/>
      <c r="Z843" s="11"/>
    </row>
    <row r="844">
      <c r="A844" s="18"/>
      <c r="B844" s="11"/>
      <c r="C844" s="11"/>
      <c r="D844" s="11"/>
      <c r="E844" s="11"/>
      <c r="F844" s="11"/>
      <c r="G844" s="11"/>
      <c r="H844" s="11"/>
      <c r="I844" s="11"/>
      <c r="J844" s="11"/>
      <c r="K844" s="11"/>
      <c r="L844" s="15"/>
      <c r="M844" s="15"/>
      <c r="N844" s="15"/>
      <c r="O844" s="15"/>
      <c r="P844" s="15"/>
      <c r="Q844" s="11"/>
      <c r="R844" s="11"/>
      <c r="S844" s="11"/>
      <c r="T844" s="11"/>
      <c r="U844" s="15"/>
      <c r="V844" s="11"/>
      <c r="W844" s="11"/>
      <c r="X844" s="11"/>
      <c r="Y844" s="11"/>
      <c r="Z844" s="11"/>
    </row>
    <row r="845">
      <c r="A845" s="18"/>
      <c r="B845" s="11"/>
      <c r="C845" s="11"/>
      <c r="D845" s="11"/>
      <c r="E845" s="11"/>
      <c r="F845" s="11"/>
      <c r="G845" s="11"/>
      <c r="H845" s="11"/>
      <c r="I845" s="11"/>
      <c r="J845" s="11"/>
      <c r="K845" s="11"/>
      <c r="L845" s="15"/>
      <c r="M845" s="15"/>
      <c r="N845" s="15"/>
      <c r="O845" s="15"/>
      <c r="P845" s="15"/>
      <c r="Q845" s="11"/>
      <c r="R845" s="11"/>
      <c r="S845" s="11"/>
      <c r="T845" s="11"/>
      <c r="U845" s="15"/>
      <c r="V845" s="11"/>
      <c r="W845" s="11"/>
      <c r="X845" s="11"/>
      <c r="Y845" s="11"/>
      <c r="Z845" s="11"/>
    </row>
    <row r="846">
      <c r="A846" s="18"/>
      <c r="B846" s="11"/>
      <c r="C846" s="11"/>
      <c r="D846" s="11"/>
      <c r="E846" s="11"/>
      <c r="F846" s="11"/>
      <c r="G846" s="11"/>
      <c r="H846" s="11"/>
      <c r="I846" s="11"/>
      <c r="J846" s="11"/>
      <c r="K846" s="11"/>
      <c r="L846" s="15"/>
      <c r="M846" s="15"/>
      <c r="N846" s="15"/>
      <c r="O846" s="15"/>
      <c r="P846" s="15"/>
      <c r="Q846" s="11"/>
      <c r="R846" s="11"/>
      <c r="S846" s="11"/>
      <c r="T846" s="11"/>
      <c r="U846" s="15"/>
      <c r="V846" s="11"/>
      <c r="W846" s="11"/>
      <c r="X846" s="11"/>
      <c r="Y846" s="11"/>
      <c r="Z846" s="11"/>
    </row>
    <row r="847">
      <c r="A847" s="18"/>
      <c r="B847" s="11"/>
      <c r="C847" s="11"/>
      <c r="D847" s="11"/>
      <c r="E847" s="11"/>
      <c r="F847" s="11"/>
      <c r="G847" s="11"/>
      <c r="H847" s="11"/>
      <c r="I847" s="11"/>
      <c r="J847" s="11"/>
      <c r="K847" s="11"/>
      <c r="L847" s="15"/>
      <c r="M847" s="15"/>
      <c r="N847" s="15"/>
      <c r="O847" s="15"/>
      <c r="P847" s="15"/>
      <c r="Q847" s="11"/>
      <c r="R847" s="11"/>
      <c r="S847" s="11"/>
      <c r="T847" s="11"/>
      <c r="U847" s="15"/>
      <c r="V847" s="11"/>
      <c r="W847" s="11"/>
      <c r="X847" s="11"/>
      <c r="Y847" s="11"/>
      <c r="Z847" s="11"/>
    </row>
    <row r="848">
      <c r="A848" s="18"/>
      <c r="B848" s="11"/>
      <c r="C848" s="11"/>
      <c r="D848" s="11"/>
      <c r="E848" s="11"/>
      <c r="F848" s="11"/>
      <c r="G848" s="11"/>
      <c r="H848" s="11"/>
      <c r="I848" s="11"/>
      <c r="J848" s="11"/>
      <c r="K848" s="11"/>
      <c r="L848" s="15"/>
      <c r="M848" s="15"/>
      <c r="N848" s="15"/>
      <c r="O848" s="15"/>
      <c r="P848" s="15"/>
      <c r="Q848" s="11"/>
      <c r="R848" s="11"/>
      <c r="S848" s="11"/>
      <c r="T848" s="11"/>
      <c r="U848" s="15"/>
      <c r="V848" s="11"/>
      <c r="W848" s="11"/>
      <c r="X848" s="11"/>
      <c r="Y848" s="11"/>
      <c r="Z848" s="11"/>
    </row>
    <row r="849">
      <c r="A849" s="18"/>
      <c r="B849" s="11"/>
      <c r="C849" s="11"/>
      <c r="D849" s="11"/>
      <c r="E849" s="11"/>
      <c r="F849" s="11"/>
      <c r="G849" s="11"/>
      <c r="H849" s="11"/>
      <c r="I849" s="11"/>
      <c r="J849" s="11"/>
      <c r="K849" s="11"/>
      <c r="L849" s="15"/>
      <c r="M849" s="15"/>
      <c r="N849" s="15"/>
      <c r="O849" s="15"/>
      <c r="P849" s="15"/>
      <c r="Q849" s="11"/>
      <c r="R849" s="11"/>
      <c r="S849" s="11"/>
      <c r="T849" s="11"/>
      <c r="U849" s="15"/>
      <c r="V849" s="11"/>
      <c r="W849" s="11"/>
      <c r="X849" s="11"/>
      <c r="Y849" s="11"/>
      <c r="Z849" s="11"/>
    </row>
    <row r="850">
      <c r="A850" s="18"/>
      <c r="B850" s="11"/>
      <c r="C850" s="11"/>
      <c r="D850" s="11"/>
      <c r="E850" s="11"/>
      <c r="F850" s="11"/>
      <c r="G850" s="11"/>
      <c r="H850" s="11"/>
      <c r="I850" s="11"/>
      <c r="J850" s="11"/>
      <c r="K850" s="11"/>
      <c r="L850" s="15"/>
      <c r="M850" s="15"/>
      <c r="N850" s="15"/>
      <c r="O850" s="15"/>
      <c r="P850" s="15"/>
      <c r="Q850" s="11"/>
      <c r="R850" s="11"/>
      <c r="S850" s="11"/>
      <c r="T850" s="11"/>
      <c r="U850" s="15"/>
      <c r="V850" s="11"/>
      <c r="W850" s="11"/>
      <c r="X850" s="11"/>
      <c r="Y850" s="11"/>
      <c r="Z850" s="11"/>
    </row>
    <row r="851">
      <c r="A851" s="18"/>
      <c r="B851" s="11"/>
      <c r="C851" s="11"/>
      <c r="D851" s="11"/>
      <c r="E851" s="11"/>
      <c r="F851" s="11"/>
      <c r="G851" s="11"/>
      <c r="H851" s="11"/>
      <c r="I851" s="11"/>
      <c r="J851" s="11"/>
      <c r="K851" s="11"/>
      <c r="L851" s="15"/>
      <c r="M851" s="15"/>
      <c r="N851" s="15"/>
      <c r="O851" s="15"/>
      <c r="P851" s="15"/>
      <c r="Q851" s="11"/>
      <c r="R851" s="11"/>
      <c r="S851" s="11"/>
      <c r="T851" s="11"/>
      <c r="U851" s="15"/>
      <c r="V851" s="11"/>
      <c r="W851" s="11"/>
      <c r="X851" s="11"/>
      <c r="Y851" s="11"/>
      <c r="Z851" s="11"/>
    </row>
    <row r="852">
      <c r="A852" s="18"/>
      <c r="B852" s="11"/>
      <c r="C852" s="11"/>
      <c r="D852" s="11"/>
      <c r="E852" s="11"/>
      <c r="F852" s="11"/>
      <c r="G852" s="11"/>
      <c r="H852" s="11"/>
      <c r="I852" s="11"/>
      <c r="J852" s="11"/>
      <c r="K852" s="11"/>
      <c r="L852" s="15"/>
      <c r="M852" s="15"/>
      <c r="N852" s="15"/>
      <c r="O852" s="15"/>
      <c r="P852" s="15"/>
      <c r="Q852" s="11"/>
      <c r="R852" s="11"/>
      <c r="S852" s="11"/>
      <c r="T852" s="11"/>
      <c r="U852" s="15"/>
      <c r="V852" s="11"/>
      <c r="W852" s="11"/>
      <c r="X852" s="11"/>
      <c r="Y852" s="11"/>
      <c r="Z852" s="11"/>
    </row>
    <row r="853">
      <c r="A853" s="18"/>
      <c r="B853" s="11"/>
      <c r="C853" s="11"/>
      <c r="D853" s="11"/>
      <c r="E853" s="11"/>
      <c r="F853" s="11"/>
      <c r="G853" s="11"/>
      <c r="H853" s="11"/>
      <c r="I853" s="11"/>
      <c r="J853" s="11"/>
      <c r="K853" s="11"/>
      <c r="L853" s="15"/>
      <c r="M853" s="15"/>
      <c r="N853" s="15"/>
      <c r="O853" s="15"/>
      <c r="P853" s="15"/>
      <c r="Q853" s="11"/>
      <c r="R853" s="11"/>
      <c r="S853" s="11"/>
      <c r="T853" s="11"/>
      <c r="U853" s="15"/>
      <c r="V853" s="11"/>
      <c r="W853" s="11"/>
      <c r="X853" s="11"/>
      <c r="Y853" s="11"/>
      <c r="Z853" s="11"/>
    </row>
    <row r="854">
      <c r="A854" s="18"/>
      <c r="B854" s="11"/>
      <c r="C854" s="11"/>
      <c r="D854" s="11"/>
      <c r="E854" s="11"/>
      <c r="F854" s="11"/>
      <c r="G854" s="11"/>
      <c r="H854" s="11"/>
      <c r="I854" s="11"/>
      <c r="J854" s="11"/>
      <c r="K854" s="11"/>
      <c r="L854" s="15"/>
      <c r="M854" s="15"/>
      <c r="N854" s="15"/>
      <c r="O854" s="15"/>
      <c r="P854" s="15"/>
      <c r="Q854" s="11"/>
      <c r="R854" s="11"/>
      <c r="S854" s="11"/>
      <c r="T854" s="11"/>
      <c r="U854" s="15"/>
      <c r="V854" s="11"/>
      <c r="W854" s="11"/>
      <c r="X854" s="11"/>
      <c r="Y854" s="11"/>
      <c r="Z854" s="11"/>
    </row>
    <row r="855">
      <c r="A855" s="18"/>
      <c r="B855" s="11"/>
      <c r="C855" s="11"/>
      <c r="D855" s="11"/>
      <c r="E855" s="11"/>
      <c r="F855" s="11"/>
      <c r="G855" s="11"/>
      <c r="H855" s="11"/>
      <c r="I855" s="11"/>
      <c r="J855" s="11"/>
      <c r="K855" s="11"/>
      <c r="L855" s="15"/>
      <c r="M855" s="15"/>
      <c r="N855" s="15"/>
      <c r="O855" s="15"/>
      <c r="P855" s="15"/>
      <c r="Q855" s="11"/>
      <c r="R855" s="11"/>
      <c r="S855" s="11"/>
      <c r="T855" s="11"/>
      <c r="U855" s="15"/>
      <c r="V855" s="11"/>
      <c r="W855" s="11"/>
      <c r="X855" s="11"/>
      <c r="Y855" s="11"/>
      <c r="Z855" s="11"/>
    </row>
    <row r="856">
      <c r="A856" s="18"/>
      <c r="B856" s="11"/>
      <c r="C856" s="11"/>
      <c r="D856" s="11"/>
      <c r="E856" s="11"/>
      <c r="F856" s="11"/>
      <c r="G856" s="11"/>
      <c r="H856" s="11"/>
      <c r="I856" s="11"/>
      <c r="J856" s="11"/>
      <c r="K856" s="11"/>
      <c r="L856" s="15"/>
      <c r="M856" s="15"/>
      <c r="N856" s="15"/>
      <c r="O856" s="15"/>
      <c r="P856" s="15"/>
      <c r="Q856" s="11"/>
      <c r="R856" s="11"/>
      <c r="S856" s="11"/>
      <c r="T856" s="11"/>
      <c r="U856" s="15"/>
      <c r="V856" s="11"/>
      <c r="W856" s="11"/>
      <c r="X856" s="11"/>
      <c r="Y856" s="11"/>
      <c r="Z856" s="11"/>
    </row>
    <row r="857">
      <c r="A857" s="18"/>
      <c r="B857" s="11"/>
      <c r="C857" s="11"/>
      <c r="D857" s="11"/>
      <c r="E857" s="11"/>
      <c r="F857" s="11"/>
      <c r="G857" s="11"/>
      <c r="H857" s="11"/>
      <c r="I857" s="11"/>
      <c r="J857" s="11"/>
      <c r="K857" s="11"/>
      <c r="L857" s="15"/>
      <c r="M857" s="15"/>
      <c r="N857" s="15"/>
      <c r="O857" s="15"/>
      <c r="P857" s="15"/>
      <c r="Q857" s="11"/>
      <c r="R857" s="11"/>
      <c r="S857" s="11"/>
      <c r="T857" s="11"/>
      <c r="U857" s="15"/>
      <c r="V857" s="11"/>
      <c r="W857" s="11"/>
      <c r="X857" s="11"/>
      <c r="Y857" s="11"/>
      <c r="Z857" s="11"/>
    </row>
    <row r="858">
      <c r="A858" s="18"/>
      <c r="B858" s="11"/>
      <c r="C858" s="11"/>
      <c r="D858" s="11"/>
      <c r="E858" s="11"/>
      <c r="F858" s="11"/>
      <c r="G858" s="11"/>
      <c r="H858" s="11"/>
      <c r="I858" s="11"/>
      <c r="J858" s="11"/>
      <c r="K858" s="11"/>
      <c r="L858" s="15"/>
      <c r="M858" s="15"/>
      <c r="N858" s="15"/>
      <c r="O858" s="15"/>
      <c r="P858" s="15"/>
      <c r="Q858" s="11"/>
      <c r="R858" s="11"/>
      <c r="S858" s="11"/>
      <c r="T858" s="11"/>
      <c r="U858" s="15"/>
      <c r="V858" s="11"/>
      <c r="W858" s="11"/>
      <c r="X858" s="11"/>
      <c r="Y858" s="11"/>
      <c r="Z858" s="11"/>
    </row>
    <row r="859">
      <c r="A859" s="18"/>
      <c r="B859" s="11"/>
      <c r="C859" s="11"/>
      <c r="D859" s="11"/>
      <c r="E859" s="11"/>
      <c r="F859" s="11"/>
      <c r="G859" s="11"/>
      <c r="H859" s="11"/>
      <c r="I859" s="11"/>
      <c r="J859" s="11"/>
      <c r="K859" s="11"/>
      <c r="L859" s="15"/>
      <c r="M859" s="15"/>
      <c r="N859" s="15"/>
      <c r="O859" s="15"/>
      <c r="P859" s="15"/>
      <c r="Q859" s="11"/>
      <c r="R859" s="11"/>
      <c r="S859" s="11"/>
      <c r="T859" s="11"/>
      <c r="U859" s="15"/>
      <c r="V859" s="11"/>
      <c r="W859" s="11"/>
      <c r="X859" s="11"/>
      <c r="Y859" s="11"/>
      <c r="Z859" s="11"/>
    </row>
    <row r="860">
      <c r="A860" s="18"/>
      <c r="B860" s="11"/>
      <c r="C860" s="11"/>
      <c r="D860" s="11"/>
      <c r="E860" s="11"/>
      <c r="F860" s="11"/>
      <c r="G860" s="11"/>
      <c r="H860" s="11"/>
      <c r="I860" s="11"/>
      <c r="J860" s="11"/>
      <c r="K860" s="11"/>
      <c r="L860" s="15"/>
      <c r="M860" s="15"/>
      <c r="N860" s="15"/>
      <c r="O860" s="15"/>
      <c r="P860" s="15"/>
      <c r="Q860" s="11"/>
      <c r="R860" s="11"/>
      <c r="S860" s="11"/>
      <c r="T860" s="11"/>
      <c r="U860" s="15"/>
      <c r="V860" s="11"/>
      <c r="W860" s="11"/>
      <c r="X860" s="11"/>
      <c r="Y860" s="11"/>
      <c r="Z860" s="11"/>
    </row>
    <row r="861">
      <c r="A861" s="18"/>
      <c r="B861" s="11"/>
      <c r="C861" s="11"/>
      <c r="D861" s="11"/>
      <c r="E861" s="11"/>
      <c r="F861" s="11"/>
      <c r="G861" s="11"/>
      <c r="H861" s="11"/>
      <c r="I861" s="11"/>
      <c r="J861" s="11"/>
      <c r="K861" s="11"/>
      <c r="L861" s="15"/>
      <c r="M861" s="15"/>
      <c r="N861" s="15"/>
      <c r="O861" s="15"/>
      <c r="P861" s="15"/>
      <c r="Q861" s="11"/>
      <c r="R861" s="11"/>
      <c r="S861" s="11"/>
      <c r="T861" s="11"/>
      <c r="U861" s="15"/>
      <c r="V861" s="11"/>
      <c r="W861" s="11"/>
      <c r="X861" s="11"/>
      <c r="Y861" s="11"/>
      <c r="Z861" s="11"/>
    </row>
    <row r="862">
      <c r="A862" s="18"/>
      <c r="B862" s="11"/>
      <c r="C862" s="11"/>
      <c r="D862" s="11"/>
      <c r="E862" s="11"/>
      <c r="F862" s="11"/>
      <c r="G862" s="11"/>
      <c r="H862" s="11"/>
      <c r="I862" s="11"/>
      <c r="J862" s="11"/>
      <c r="K862" s="11"/>
      <c r="L862" s="15"/>
      <c r="M862" s="15"/>
      <c r="N862" s="15"/>
      <c r="O862" s="15"/>
      <c r="P862" s="15"/>
      <c r="Q862" s="11"/>
      <c r="R862" s="11"/>
      <c r="S862" s="11"/>
      <c r="T862" s="11"/>
      <c r="U862" s="15"/>
      <c r="V862" s="11"/>
      <c r="W862" s="11"/>
      <c r="X862" s="11"/>
      <c r="Y862" s="11"/>
      <c r="Z862" s="11"/>
    </row>
    <row r="863">
      <c r="A863" s="18"/>
      <c r="B863" s="11"/>
      <c r="C863" s="11"/>
      <c r="D863" s="11"/>
      <c r="E863" s="11"/>
      <c r="F863" s="11"/>
      <c r="G863" s="11"/>
      <c r="H863" s="11"/>
      <c r="I863" s="11"/>
      <c r="J863" s="11"/>
      <c r="K863" s="11"/>
      <c r="L863" s="15"/>
      <c r="M863" s="15"/>
      <c r="N863" s="15"/>
      <c r="O863" s="15"/>
      <c r="P863" s="15"/>
      <c r="Q863" s="11"/>
      <c r="R863" s="11"/>
      <c r="S863" s="11"/>
      <c r="T863" s="11"/>
      <c r="U863" s="15"/>
      <c r="V863" s="11"/>
      <c r="W863" s="11"/>
      <c r="X863" s="11"/>
      <c r="Y863" s="11"/>
      <c r="Z863" s="11"/>
    </row>
    <row r="864">
      <c r="A864" s="18"/>
      <c r="B864" s="11"/>
      <c r="C864" s="11"/>
      <c r="D864" s="11"/>
      <c r="E864" s="11"/>
      <c r="F864" s="11"/>
      <c r="G864" s="11"/>
      <c r="H864" s="11"/>
      <c r="I864" s="11"/>
      <c r="J864" s="11"/>
      <c r="K864" s="11"/>
      <c r="L864" s="15"/>
      <c r="M864" s="15"/>
      <c r="N864" s="15"/>
      <c r="O864" s="15"/>
      <c r="P864" s="15"/>
      <c r="Q864" s="11"/>
      <c r="R864" s="11"/>
      <c r="S864" s="11"/>
      <c r="T864" s="11"/>
      <c r="U864" s="15"/>
      <c r="V864" s="11"/>
      <c r="W864" s="11"/>
      <c r="X864" s="11"/>
      <c r="Y864" s="11"/>
      <c r="Z864" s="11"/>
    </row>
    <row r="865">
      <c r="A865" s="18"/>
      <c r="B865" s="11"/>
      <c r="C865" s="11"/>
      <c r="D865" s="11"/>
      <c r="E865" s="11"/>
      <c r="F865" s="11"/>
      <c r="G865" s="11"/>
      <c r="H865" s="11"/>
      <c r="I865" s="11"/>
      <c r="J865" s="11"/>
      <c r="K865" s="11"/>
      <c r="L865" s="15"/>
      <c r="M865" s="15"/>
      <c r="N865" s="15"/>
      <c r="O865" s="15"/>
      <c r="P865" s="15"/>
      <c r="Q865" s="11"/>
      <c r="R865" s="11"/>
      <c r="S865" s="11"/>
      <c r="T865" s="11"/>
      <c r="U865" s="15"/>
      <c r="V865" s="11"/>
      <c r="W865" s="11"/>
      <c r="X865" s="11"/>
      <c r="Y865" s="11"/>
      <c r="Z865" s="11"/>
    </row>
    <row r="866">
      <c r="A866" s="18"/>
      <c r="B866" s="11"/>
      <c r="C866" s="11"/>
      <c r="D866" s="11"/>
      <c r="E866" s="11"/>
      <c r="F866" s="11"/>
      <c r="G866" s="11"/>
      <c r="H866" s="11"/>
      <c r="I866" s="11"/>
      <c r="J866" s="11"/>
      <c r="K866" s="11"/>
      <c r="L866" s="15"/>
      <c r="M866" s="15"/>
      <c r="N866" s="15"/>
      <c r="O866" s="15"/>
      <c r="P866" s="15"/>
      <c r="Q866" s="11"/>
      <c r="R866" s="11"/>
      <c r="S866" s="11"/>
      <c r="T866" s="11"/>
      <c r="U866" s="15"/>
      <c r="V866" s="11"/>
      <c r="W866" s="11"/>
      <c r="X866" s="11"/>
      <c r="Y866" s="11"/>
      <c r="Z866" s="11"/>
    </row>
    <row r="867">
      <c r="A867" s="18"/>
      <c r="B867" s="11"/>
      <c r="C867" s="11"/>
      <c r="D867" s="11"/>
      <c r="E867" s="11"/>
      <c r="F867" s="11"/>
      <c r="G867" s="11"/>
      <c r="H867" s="11"/>
      <c r="I867" s="11"/>
      <c r="J867" s="11"/>
      <c r="K867" s="11"/>
      <c r="L867" s="15"/>
      <c r="M867" s="15"/>
      <c r="N867" s="15"/>
      <c r="O867" s="15"/>
      <c r="P867" s="15"/>
      <c r="Q867" s="11"/>
      <c r="R867" s="11"/>
      <c r="S867" s="11"/>
      <c r="T867" s="11"/>
      <c r="U867" s="15"/>
      <c r="V867" s="11"/>
      <c r="W867" s="11"/>
      <c r="X867" s="11"/>
      <c r="Y867" s="11"/>
      <c r="Z867" s="11"/>
    </row>
    <row r="868">
      <c r="A868" s="18"/>
      <c r="B868" s="11"/>
      <c r="C868" s="11"/>
      <c r="D868" s="11"/>
      <c r="E868" s="11"/>
      <c r="F868" s="11"/>
      <c r="G868" s="11"/>
      <c r="H868" s="11"/>
      <c r="I868" s="11"/>
      <c r="J868" s="11"/>
      <c r="K868" s="11"/>
      <c r="L868" s="15"/>
      <c r="M868" s="15"/>
      <c r="N868" s="15"/>
      <c r="O868" s="15"/>
      <c r="P868" s="15"/>
      <c r="Q868" s="11"/>
      <c r="R868" s="11"/>
      <c r="S868" s="11"/>
      <c r="T868" s="11"/>
      <c r="U868" s="15"/>
      <c r="V868" s="11"/>
      <c r="W868" s="11"/>
      <c r="X868" s="11"/>
      <c r="Y868" s="11"/>
      <c r="Z868" s="11"/>
    </row>
    <row r="869">
      <c r="A869" s="18"/>
      <c r="B869" s="11"/>
      <c r="C869" s="11"/>
      <c r="D869" s="11"/>
      <c r="E869" s="11"/>
      <c r="F869" s="11"/>
      <c r="G869" s="11"/>
      <c r="H869" s="11"/>
      <c r="I869" s="11"/>
      <c r="J869" s="11"/>
      <c r="K869" s="11"/>
      <c r="L869" s="15"/>
      <c r="M869" s="15"/>
      <c r="N869" s="15"/>
      <c r="O869" s="15"/>
      <c r="P869" s="15"/>
      <c r="Q869" s="11"/>
      <c r="R869" s="11"/>
      <c r="S869" s="11"/>
      <c r="T869" s="11"/>
      <c r="U869" s="15"/>
      <c r="V869" s="11"/>
      <c r="W869" s="11"/>
      <c r="X869" s="11"/>
      <c r="Y869" s="11"/>
      <c r="Z869" s="11"/>
    </row>
    <row r="870">
      <c r="A870" s="18"/>
      <c r="B870" s="11"/>
      <c r="C870" s="11"/>
      <c r="D870" s="11"/>
      <c r="E870" s="11"/>
      <c r="F870" s="11"/>
      <c r="G870" s="11"/>
      <c r="H870" s="11"/>
      <c r="I870" s="11"/>
      <c r="J870" s="11"/>
      <c r="K870" s="11"/>
      <c r="L870" s="15"/>
      <c r="M870" s="15"/>
      <c r="N870" s="15"/>
      <c r="O870" s="15"/>
      <c r="P870" s="15"/>
      <c r="Q870" s="11"/>
      <c r="R870" s="11"/>
      <c r="S870" s="11"/>
      <c r="T870" s="11"/>
      <c r="U870" s="15"/>
      <c r="V870" s="11"/>
      <c r="W870" s="11"/>
      <c r="X870" s="11"/>
      <c r="Y870" s="11"/>
      <c r="Z870" s="11"/>
    </row>
    <row r="871">
      <c r="A871" s="18"/>
      <c r="B871" s="11"/>
      <c r="C871" s="11"/>
      <c r="D871" s="11"/>
      <c r="E871" s="11"/>
      <c r="F871" s="11"/>
      <c r="G871" s="11"/>
      <c r="H871" s="11"/>
      <c r="I871" s="11"/>
      <c r="J871" s="11"/>
      <c r="K871" s="11"/>
      <c r="L871" s="15"/>
      <c r="M871" s="15"/>
      <c r="N871" s="15"/>
      <c r="O871" s="15"/>
      <c r="P871" s="15"/>
      <c r="Q871" s="11"/>
      <c r="R871" s="11"/>
      <c r="S871" s="11"/>
      <c r="T871" s="11"/>
      <c r="U871" s="15"/>
      <c r="V871" s="11"/>
      <c r="W871" s="11"/>
      <c r="X871" s="11"/>
      <c r="Y871" s="11"/>
      <c r="Z871" s="11"/>
    </row>
    <row r="872">
      <c r="A872" s="18"/>
      <c r="B872" s="11"/>
      <c r="C872" s="11"/>
      <c r="D872" s="11"/>
      <c r="E872" s="11"/>
      <c r="F872" s="11"/>
      <c r="G872" s="11"/>
      <c r="H872" s="11"/>
      <c r="I872" s="11"/>
      <c r="J872" s="11"/>
      <c r="K872" s="11"/>
      <c r="L872" s="15"/>
      <c r="M872" s="15"/>
      <c r="N872" s="15"/>
      <c r="O872" s="15"/>
      <c r="P872" s="15"/>
      <c r="Q872" s="11"/>
      <c r="R872" s="11"/>
      <c r="S872" s="11"/>
      <c r="T872" s="11"/>
      <c r="U872" s="15"/>
      <c r="V872" s="11"/>
      <c r="W872" s="11"/>
      <c r="X872" s="11"/>
      <c r="Y872" s="11"/>
      <c r="Z872" s="11"/>
    </row>
    <row r="873">
      <c r="A873" s="18"/>
      <c r="B873" s="11"/>
      <c r="C873" s="11"/>
      <c r="D873" s="11"/>
      <c r="E873" s="11"/>
      <c r="F873" s="11"/>
      <c r="G873" s="11"/>
      <c r="H873" s="11"/>
      <c r="I873" s="11"/>
      <c r="J873" s="11"/>
      <c r="K873" s="11"/>
      <c r="L873" s="15"/>
      <c r="M873" s="15"/>
      <c r="N873" s="15"/>
      <c r="O873" s="15"/>
      <c r="P873" s="15"/>
      <c r="Q873" s="11"/>
      <c r="R873" s="11"/>
      <c r="S873" s="11"/>
      <c r="T873" s="11"/>
      <c r="U873" s="15"/>
      <c r="V873" s="11"/>
      <c r="W873" s="11"/>
      <c r="X873" s="11"/>
      <c r="Y873" s="11"/>
      <c r="Z873" s="11"/>
    </row>
    <row r="874">
      <c r="A874" s="18"/>
      <c r="B874" s="11"/>
      <c r="C874" s="11"/>
      <c r="D874" s="11"/>
      <c r="E874" s="11"/>
      <c r="F874" s="11"/>
      <c r="G874" s="11"/>
      <c r="H874" s="11"/>
      <c r="I874" s="11"/>
      <c r="J874" s="11"/>
      <c r="K874" s="11"/>
      <c r="L874" s="15"/>
      <c r="M874" s="15"/>
      <c r="N874" s="15"/>
      <c r="O874" s="15"/>
      <c r="P874" s="15"/>
      <c r="Q874" s="11"/>
      <c r="R874" s="11"/>
      <c r="S874" s="11"/>
      <c r="T874" s="11"/>
      <c r="U874" s="15"/>
      <c r="V874" s="11"/>
      <c r="W874" s="11"/>
      <c r="X874" s="11"/>
      <c r="Y874" s="11"/>
      <c r="Z874" s="11"/>
    </row>
    <row r="875">
      <c r="A875" s="18"/>
      <c r="B875" s="11"/>
      <c r="C875" s="11"/>
      <c r="D875" s="11"/>
      <c r="E875" s="11"/>
      <c r="F875" s="11"/>
      <c r="G875" s="11"/>
      <c r="H875" s="11"/>
      <c r="I875" s="11"/>
      <c r="J875" s="11"/>
      <c r="K875" s="11"/>
      <c r="L875" s="15"/>
      <c r="M875" s="15"/>
      <c r="N875" s="15"/>
      <c r="O875" s="15"/>
      <c r="P875" s="15"/>
      <c r="Q875" s="11"/>
      <c r="R875" s="11"/>
      <c r="S875" s="11"/>
      <c r="T875" s="11"/>
      <c r="U875" s="15"/>
      <c r="V875" s="11"/>
      <c r="W875" s="11"/>
      <c r="X875" s="11"/>
      <c r="Y875" s="11"/>
      <c r="Z875" s="11"/>
    </row>
    <row r="876">
      <c r="A876" s="18"/>
      <c r="B876" s="11"/>
      <c r="C876" s="11"/>
      <c r="D876" s="11"/>
      <c r="E876" s="11"/>
      <c r="F876" s="11"/>
      <c r="G876" s="11"/>
      <c r="H876" s="11"/>
      <c r="I876" s="11"/>
      <c r="J876" s="11"/>
      <c r="K876" s="11"/>
      <c r="L876" s="15"/>
      <c r="M876" s="15"/>
      <c r="N876" s="15"/>
      <c r="O876" s="15"/>
      <c r="P876" s="15"/>
      <c r="Q876" s="11"/>
      <c r="R876" s="11"/>
      <c r="S876" s="11"/>
      <c r="T876" s="11"/>
      <c r="U876" s="15"/>
      <c r="V876" s="11"/>
      <c r="W876" s="11"/>
      <c r="X876" s="11"/>
      <c r="Y876" s="11"/>
      <c r="Z876" s="11"/>
    </row>
    <row r="877">
      <c r="A877" s="18"/>
      <c r="B877" s="11"/>
      <c r="C877" s="11"/>
      <c r="D877" s="11"/>
      <c r="E877" s="11"/>
      <c r="F877" s="11"/>
      <c r="G877" s="11"/>
      <c r="H877" s="11"/>
      <c r="I877" s="11"/>
      <c r="J877" s="11"/>
      <c r="K877" s="11"/>
      <c r="L877" s="15"/>
      <c r="M877" s="15"/>
      <c r="N877" s="15"/>
      <c r="O877" s="15"/>
      <c r="P877" s="15"/>
      <c r="Q877" s="11"/>
      <c r="R877" s="11"/>
      <c r="S877" s="11"/>
      <c r="T877" s="11"/>
      <c r="U877" s="15"/>
      <c r="V877" s="11"/>
      <c r="W877" s="11"/>
      <c r="X877" s="11"/>
      <c r="Y877" s="11"/>
      <c r="Z877" s="11"/>
    </row>
    <row r="878">
      <c r="A878" s="18"/>
      <c r="B878" s="11"/>
      <c r="C878" s="11"/>
      <c r="D878" s="11"/>
      <c r="E878" s="11"/>
      <c r="F878" s="11"/>
      <c r="G878" s="11"/>
      <c r="H878" s="11"/>
      <c r="I878" s="11"/>
      <c r="J878" s="11"/>
      <c r="K878" s="11"/>
      <c r="L878" s="15"/>
      <c r="M878" s="15"/>
      <c r="N878" s="15"/>
      <c r="O878" s="15"/>
      <c r="P878" s="15"/>
      <c r="Q878" s="11"/>
      <c r="R878" s="11"/>
      <c r="S878" s="11"/>
      <c r="T878" s="11"/>
      <c r="U878" s="15"/>
      <c r="V878" s="11"/>
      <c r="W878" s="11"/>
      <c r="X878" s="11"/>
      <c r="Y878" s="11"/>
      <c r="Z878" s="11"/>
    </row>
    <row r="879">
      <c r="A879" s="18"/>
      <c r="B879" s="11"/>
      <c r="C879" s="11"/>
      <c r="D879" s="11"/>
      <c r="E879" s="11"/>
      <c r="F879" s="11"/>
      <c r="G879" s="11"/>
      <c r="H879" s="11"/>
      <c r="I879" s="11"/>
      <c r="J879" s="11"/>
      <c r="K879" s="11"/>
      <c r="L879" s="15"/>
      <c r="M879" s="15"/>
      <c r="N879" s="15"/>
      <c r="O879" s="15"/>
      <c r="P879" s="15"/>
      <c r="Q879" s="11"/>
      <c r="R879" s="11"/>
      <c r="S879" s="11"/>
      <c r="T879" s="11"/>
      <c r="U879" s="15"/>
      <c r="V879" s="11"/>
      <c r="W879" s="11"/>
      <c r="X879" s="11"/>
      <c r="Y879" s="11"/>
      <c r="Z879" s="11"/>
    </row>
    <row r="880">
      <c r="A880" s="18"/>
      <c r="B880" s="11"/>
      <c r="C880" s="11"/>
      <c r="D880" s="11"/>
      <c r="E880" s="11"/>
      <c r="F880" s="11"/>
      <c r="G880" s="11"/>
      <c r="H880" s="11"/>
      <c r="I880" s="11"/>
      <c r="J880" s="11"/>
      <c r="K880" s="11"/>
      <c r="L880" s="15"/>
      <c r="M880" s="15"/>
      <c r="N880" s="15"/>
      <c r="O880" s="15"/>
      <c r="P880" s="15"/>
      <c r="Q880" s="11"/>
      <c r="R880" s="11"/>
      <c r="S880" s="11"/>
      <c r="T880" s="11"/>
      <c r="U880" s="15"/>
      <c r="V880" s="11"/>
      <c r="W880" s="11"/>
      <c r="X880" s="11"/>
      <c r="Y880" s="11"/>
      <c r="Z880" s="11"/>
    </row>
    <row r="881">
      <c r="A881" s="18"/>
      <c r="B881" s="11"/>
      <c r="C881" s="11"/>
      <c r="D881" s="11"/>
      <c r="E881" s="11"/>
      <c r="F881" s="11"/>
      <c r="G881" s="11"/>
      <c r="H881" s="11"/>
      <c r="I881" s="11"/>
      <c r="J881" s="11"/>
      <c r="K881" s="11"/>
      <c r="L881" s="15"/>
      <c r="M881" s="15"/>
      <c r="N881" s="15"/>
      <c r="O881" s="15"/>
      <c r="P881" s="15"/>
      <c r="Q881" s="11"/>
      <c r="R881" s="11"/>
      <c r="S881" s="11"/>
      <c r="T881" s="11"/>
      <c r="U881" s="15"/>
      <c r="V881" s="11"/>
      <c r="W881" s="11"/>
      <c r="X881" s="11"/>
      <c r="Y881" s="11"/>
      <c r="Z881" s="11"/>
    </row>
    <row r="882">
      <c r="A882" s="18"/>
      <c r="B882" s="11"/>
      <c r="C882" s="11"/>
      <c r="D882" s="11"/>
      <c r="E882" s="11"/>
      <c r="F882" s="11"/>
      <c r="G882" s="11"/>
      <c r="H882" s="11"/>
      <c r="I882" s="11"/>
      <c r="J882" s="11"/>
      <c r="K882" s="11"/>
      <c r="L882" s="15"/>
      <c r="M882" s="15"/>
      <c r="N882" s="15"/>
      <c r="O882" s="15"/>
      <c r="P882" s="15"/>
      <c r="Q882" s="11"/>
      <c r="R882" s="11"/>
      <c r="S882" s="11"/>
      <c r="T882" s="11"/>
      <c r="U882" s="15"/>
      <c r="V882" s="11"/>
      <c r="W882" s="11"/>
      <c r="X882" s="11"/>
      <c r="Y882" s="11"/>
      <c r="Z882" s="11"/>
    </row>
    <row r="883">
      <c r="A883" s="18"/>
      <c r="B883" s="11"/>
      <c r="C883" s="11"/>
      <c r="D883" s="11"/>
      <c r="E883" s="11"/>
      <c r="F883" s="11"/>
      <c r="G883" s="11"/>
      <c r="H883" s="11"/>
      <c r="I883" s="11"/>
      <c r="J883" s="11"/>
      <c r="K883" s="11"/>
      <c r="L883" s="15"/>
      <c r="M883" s="15"/>
      <c r="N883" s="15"/>
      <c r="O883" s="15"/>
      <c r="P883" s="15"/>
      <c r="Q883" s="11"/>
      <c r="R883" s="11"/>
      <c r="S883" s="11"/>
      <c r="T883" s="11"/>
      <c r="U883" s="15"/>
      <c r="V883" s="11"/>
      <c r="W883" s="11"/>
      <c r="X883" s="11"/>
      <c r="Y883" s="11"/>
      <c r="Z883" s="11"/>
    </row>
    <row r="884">
      <c r="A884" s="18"/>
      <c r="B884" s="11"/>
      <c r="C884" s="11"/>
      <c r="D884" s="11"/>
      <c r="E884" s="11"/>
      <c r="F884" s="11"/>
      <c r="G884" s="11"/>
      <c r="H884" s="11"/>
      <c r="I884" s="11"/>
      <c r="J884" s="11"/>
      <c r="K884" s="11"/>
      <c r="L884" s="15"/>
      <c r="M884" s="15"/>
      <c r="N884" s="15"/>
      <c r="O884" s="15"/>
      <c r="P884" s="15"/>
      <c r="Q884" s="11"/>
      <c r="R884" s="11"/>
      <c r="S884" s="11"/>
      <c r="T884" s="11"/>
      <c r="U884" s="15"/>
      <c r="V884" s="11"/>
      <c r="W884" s="11"/>
      <c r="X884" s="11"/>
      <c r="Y884" s="11"/>
      <c r="Z884" s="11"/>
    </row>
    <row r="885">
      <c r="A885" s="18"/>
      <c r="B885" s="11"/>
      <c r="C885" s="11"/>
      <c r="D885" s="11"/>
      <c r="E885" s="11"/>
      <c r="F885" s="11"/>
      <c r="G885" s="11"/>
      <c r="H885" s="11"/>
      <c r="I885" s="11"/>
      <c r="J885" s="11"/>
      <c r="K885" s="11"/>
      <c r="L885" s="15"/>
      <c r="M885" s="15"/>
      <c r="N885" s="15"/>
      <c r="O885" s="15"/>
      <c r="P885" s="15"/>
      <c r="Q885" s="11"/>
      <c r="R885" s="11"/>
      <c r="S885" s="11"/>
      <c r="T885" s="11"/>
      <c r="U885" s="15"/>
      <c r="V885" s="11"/>
      <c r="W885" s="11"/>
      <c r="X885" s="11"/>
      <c r="Y885" s="11"/>
      <c r="Z885" s="11"/>
    </row>
    <row r="886">
      <c r="A886" s="18"/>
      <c r="B886" s="11"/>
      <c r="C886" s="11"/>
      <c r="D886" s="11"/>
      <c r="E886" s="11"/>
      <c r="F886" s="11"/>
      <c r="G886" s="11"/>
      <c r="H886" s="11"/>
      <c r="I886" s="11"/>
      <c r="J886" s="11"/>
      <c r="K886" s="11"/>
      <c r="L886" s="15"/>
      <c r="M886" s="15"/>
      <c r="N886" s="15"/>
      <c r="O886" s="15"/>
      <c r="P886" s="15"/>
      <c r="Q886" s="11"/>
      <c r="R886" s="11"/>
      <c r="S886" s="11"/>
      <c r="T886" s="11"/>
      <c r="U886" s="15"/>
      <c r="V886" s="11"/>
      <c r="W886" s="11"/>
      <c r="X886" s="11"/>
      <c r="Y886" s="11"/>
      <c r="Z886" s="11"/>
    </row>
    <row r="887">
      <c r="A887" s="18"/>
      <c r="B887" s="11"/>
      <c r="C887" s="11"/>
      <c r="D887" s="11"/>
      <c r="E887" s="11"/>
      <c r="F887" s="11"/>
      <c r="G887" s="11"/>
      <c r="H887" s="11"/>
      <c r="I887" s="11"/>
      <c r="J887" s="11"/>
      <c r="K887" s="11"/>
      <c r="L887" s="15"/>
      <c r="M887" s="15"/>
      <c r="N887" s="15"/>
      <c r="O887" s="15"/>
      <c r="P887" s="15"/>
      <c r="Q887" s="11"/>
      <c r="R887" s="11"/>
      <c r="S887" s="11"/>
      <c r="T887" s="11"/>
      <c r="U887" s="15"/>
      <c r="V887" s="11"/>
      <c r="W887" s="11"/>
      <c r="X887" s="11"/>
      <c r="Y887" s="11"/>
      <c r="Z887" s="11"/>
    </row>
    <row r="888">
      <c r="A888" s="18"/>
      <c r="B888" s="11"/>
      <c r="C888" s="11"/>
      <c r="D888" s="11"/>
      <c r="E888" s="11"/>
      <c r="F888" s="11"/>
      <c r="G888" s="11"/>
      <c r="H888" s="11"/>
      <c r="I888" s="11"/>
      <c r="J888" s="11"/>
      <c r="K888" s="11"/>
      <c r="L888" s="15"/>
      <c r="M888" s="15"/>
      <c r="N888" s="15"/>
      <c r="O888" s="15"/>
      <c r="P888" s="15"/>
      <c r="Q888" s="11"/>
      <c r="R888" s="11"/>
      <c r="S888" s="11"/>
      <c r="T888" s="11"/>
      <c r="U888" s="15"/>
      <c r="V888" s="11"/>
      <c r="W888" s="11"/>
      <c r="X888" s="11"/>
      <c r="Y888" s="11"/>
      <c r="Z888" s="11"/>
    </row>
    <row r="889">
      <c r="A889" s="18"/>
      <c r="B889" s="11"/>
      <c r="C889" s="11"/>
      <c r="D889" s="11"/>
      <c r="E889" s="11"/>
      <c r="F889" s="11"/>
      <c r="G889" s="11"/>
      <c r="H889" s="11"/>
      <c r="I889" s="11"/>
      <c r="J889" s="11"/>
      <c r="K889" s="11"/>
      <c r="L889" s="15"/>
      <c r="M889" s="15"/>
      <c r="N889" s="15"/>
      <c r="O889" s="15"/>
      <c r="P889" s="15"/>
      <c r="Q889" s="11"/>
      <c r="R889" s="11"/>
      <c r="S889" s="11"/>
      <c r="T889" s="11"/>
      <c r="U889" s="15"/>
      <c r="V889" s="11"/>
      <c r="W889" s="11"/>
      <c r="X889" s="11"/>
      <c r="Y889" s="11"/>
      <c r="Z889" s="11"/>
    </row>
    <row r="890">
      <c r="A890" s="18"/>
      <c r="B890" s="11"/>
      <c r="C890" s="11"/>
      <c r="D890" s="11"/>
      <c r="E890" s="11"/>
      <c r="F890" s="11"/>
      <c r="G890" s="11"/>
      <c r="H890" s="11"/>
      <c r="I890" s="11"/>
      <c r="J890" s="11"/>
      <c r="K890" s="11"/>
      <c r="L890" s="15"/>
      <c r="M890" s="15"/>
      <c r="N890" s="15"/>
      <c r="O890" s="15"/>
      <c r="P890" s="15"/>
      <c r="Q890" s="11"/>
      <c r="R890" s="11"/>
      <c r="S890" s="11"/>
      <c r="T890" s="11"/>
      <c r="U890" s="15"/>
      <c r="V890" s="11"/>
      <c r="W890" s="11"/>
      <c r="X890" s="11"/>
      <c r="Y890" s="11"/>
      <c r="Z890" s="11"/>
    </row>
    <row r="891">
      <c r="A891" s="18"/>
      <c r="B891" s="11"/>
      <c r="C891" s="11"/>
      <c r="D891" s="11"/>
      <c r="E891" s="11"/>
      <c r="F891" s="11"/>
      <c r="G891" s="11"/>
      <c r="H891" s="11"/>
      <c r="I891" s="11"/>
      <c r="J891" s="11"/>
      <c r="K891" s="11"/>
      <c r="L891" s="15"/>
      <c r="M891" s="15"/>
      <c r="N891" s="15"/>
      <c r="O891" s="15"/>
      <c r="P891" s="15"/>
      <c r="Q891" s="11"/>
      <c r="R891" s="11"/>
      <c r="S891" s="11"/>
      <c r="T891" s="11"/>
      <c r="U891" s="15"/>
      <c r="V891" s="11"/>
      <c r="W891" s="11"/>
      <c r="X891" s="11"/>
      <c r="Y891" s="11"/>
      <c r="Z891" s="11"/>
    </row>
    <row r="892">
      <c r="A892" s="18"/>
      <c r="B892" s="11"/>
      <c r="C892" s="11"/>
      <c r="D892" s="11"/>
      <c r="E892" s="11"/>
      <c r="F892" s="11"/>
      <c r="G892" s="11"/>
      <c r="H892" s="11"/>
      <c r="I892" s="11"/>
      <c r="J892" s="11"/>
      <c r="K892" s="11"/>
      <c r="L892" s="15"/>
      <c r="M892" s="15"/>
      <c r="N892" s="15"/>
      <c r="O892" s="15"/>
      <c r="P892" s="15"/>
      <c r="Q892" s="11"/>
      <c r="R892" s="11"/>
      <c r="S892" s="11"/>
      <c r="T892" s="11"/>
      <c r="U892" s="15"/>
      <c r="V892" s="11"/>
      <c r="W892" s="11"/>
      <c r="X892" s="11"/>
      <c r="Y892" s="11"/>
      <c r="Z892" s="11"/>
    </row>
    <row r="893">
      <c r="A893" s="18"/>
      <c r="B893" s="11"/>
      <c r="C893" s="11"/>
      <c r="D893" s="11"/>
      <c r="E893" s="11"/>
      <c r="F893" s="11"/>
      <c r="G893" s="11"/>
      <c r="H893" s="11"/>
      <c r="I893" s="11"/>
      <c r="J893" s="11"/>
      <c r="K893" s="11"/>
      <c r="L893" s="15"/>
      <c r="M893" s="15"/>
      <c r="N893" s="15"/>
      <c r="O893" s="15"/>
      <c r="P893" s="15"/>
      <c r="Q893" s="11"/>
      <c r="R893" s="11"/>
      <c r="S893" s="11"/>
      <c r="T893" s="11"/>
      <c r="U893" s="15"/>
      <c r="V893" s="11"/>
      <c r="W893" s="11"/>
      <c r="X893" s="11"/>
      <c r="Y893" s="11"/>
      <c r="Z893" s="11"/>
    </row>
    <row r="894">
      <c r="A894" s="18"/>
      <c r="B894" s="11"/>
      <c r="C894" s="11"/>
      <c r="D894" s="11"/>
      <c r="E894" s="11"/>
      <c r="F894" s="11"/>
      <c r="G894" s="11"/>
      <c r="H894" s="11"/>
      <c r="I894" s="11"/>
      <c r="J894" s="11"/>
      <c r="K894" s="11"/>
      <c r="L894" s="15"/>
      <c r="M894" s="15"/>
      <c r="N894" s="15"/>
      <c r="O894" s="15"/>
      <c r="P894" s="15"/>
      <c r="Q894" s="11"/>
      <c r="R894" s="11"/>
      <c r="S894" s="11"/>
      <c r="T894" s="11"/>
      <c r="U894" s="15"/>
      <c r="V894" s="11"/>
      <c r="W894" s="11"/>
      <c r="X894" s="11"/>
      <c r="Y894" s="11"/>
      <c r="Z894" s="11"/>
    </row>
    <row r="895">
      <c r="A895" s="18"/>
      <c r="B895" s="11"/>
      <c r="C895" s="11"/>
      <c r="D895" s="11"/>
      <c r="E895" s="11"/>
      <c r="F895" s="11"/>
      <c r="G895" s="11"/>
      <c r="H895" s="11"/>
      <c r="I895" s="11"/>
      <c r="J895" s="11"/>
      <c r="K895" s="11"/>
      <c r="L895" s="15"/>
      <c r="M895" s="15"/>
      <c r="N895" s="15"/>
      <c r="O895" s="15"/>
      <c r="P895" s="15"/>
      <c r="Q895" s="11"/>
      <c r="R895" s="11"/>
      <c r="S895" s="11"/>
      <c r="T895" s="11"/>
      <c r="U895" s="15"/>
      <c r="V895" s="11"/>
      <c r="W895" s="11"/>
      <c r="X895" s="11"/>
      <c r="Y895" s="11"/>
      <c r="Z895" s="11"/>
    </row>
    <row r="896">
      <c r="A896" s="18"/>
      <c r="B896" s="11"/>
      <c r="C896" s="11"/>
      <c r="D896" s="11"/>
      <c r="E896" s="11"/>
      <c r="F896" s="11"/>
      <c r="G896" s="11"/>
      <c r="H896" s="11"/>
      <c r="I896" s="11"/>
      <c r="J896" s="11"/>
      <c r="K896" s="11"/>
      <c r="L896" s="15"/>
      <c r="M896" s="15"/>
      <c r="N896" s="15"/>
      <c r="O896" s="15"/>
      <c r="P896" s="15"/>
      <c r="Q896" s="11"/>
      <c r="R896" s="11"/>
      <c r="S896" s="11"/>
      <c r="T896" s="11"/>
      <c r="U896" s="15"/>
      <c r="V896" s="11"/>
      <c r="W896" s="11"/>
      <c r="X896" s="11"/>
      <c r="Y896" s="11"/>
      <c r="Z896" s="11"/>
    </row>
    <row r="897">
      <c r="A897" s="18"/>
      <c r="B897" s="11"/>
      <c r="C897" s="11"/>
      <c r="D897" s="11"/>
      <c r="E897" s="11"/>
      <c r="F897" s="11"/>
      <c r="G897" s="11"/>
      <c r="H897" s="11"/>
      <c r="I897" s="11"/>
      <c r="J897" s="11"/>
      <c r="K897" s="11"/>
      <c r="L897" s="15"/>
      <c r="M897" s="15"/>
      <c r="N897" s="15"/>
      <c r="O897" s="15"/>
      <c r="P897" s="15"/>
      <c r="Q897" s="11"/>
      <c r="R897" s="11"/>
      <c r="S897" s="11"/>
      <c r="T897" s="11"/>
      <c r="U897" s="15"/>
      <c r="V897" s="11"/>
      <c r="W897" s="11"/>
      <c r="X897" s="11"/>
      <c r="Y897" s="11"/>
      <c r="Z897" s="11"/>
    </row>
    <row r="898">
      <c r="A898" s="18"/>
      <c r="B898" s="11"/>
      <c r="C898" s="11"/>
      <c r="D898" s="11"/>
      <c r="E898" s="11"/>
      <c r="F898" s="11"/>
      <c r="G898" s="11"/>
      <c r="H898" s="11"/>
      <c r="I898" s="11"/>
      <c r="J898" s="11"/>
      <c r="K898" s="11"/>
      <c r="L898" s="15"/>
      <c r="M898" s="15"/>
      <c r="N898" s="15"/>
      <c r="O898" s="15"/>
      <c r="P898" s="15"/>
      <c r="Q898" s="11"/>
      <c r="R898" s="11"/>
      <c r="S898" s="11"/>
      <c r="T898" s="11"/>
      <c r="U898" s="15"/>
      <c r="V898" s="11"/>
      <c r="W898" s="11"/>
      <c r="X898" s="11"/>
      <c r="Y898" s="11"/>
      <c r="Z898" s="11"/>
    </row>
    <row r="899">
      <c r="A899" s="18"/>
      <c r="B899" s="11"/>
      <c r="C899" s="11"/>
      <c r="D899" s="11"/>
      <c r="E899" s="11"/>
      <c r="F899" s="11"/>
      <c r="G899" s="11"/>
      <c r="H899" s="11"/>
      <c r="I899" s="11"/>
      <c r="J899" s="11"/>
      <c r="K899" s="11"/>
      <c r="L899" s="15"/>
      <c r="M899" s="15"/>
      <c r="N899" s="15"/>
      <c r="O899" s="15"/>
      <c r="P899" s="15"/>
      <c r="Q899" s="11"/>
      <c r="R899" s="11"/>
      <c r="S899" s="11"/>
      <c r="T899" s="11"/>
      <c r="U899" s="15"/>
      <c r="V899" s="11"/>
      <c r="W899" s="11"/>
      <c r="X899" s="11"/>
      <c r="Y899" s="11"/>
      <c r="Z899" s="11"/>
    </row>
    <row r="900">
      <c r="A900" s="18"/>
      <c r="B900" s="11"/>
      <c r="C900" s="11"/>
      <c r="D900" s="11"/>
      <c r="E900" s="11"/>
      <c r="F900" s="11"/>
      <c r="G900" s="11"/>
      <c r="H900" s="11"/>
      <c r="I900" s="11"/>
      <c r="J900" s="11"/>
      <c r="K900" s="11"/>
      <c r="L900" s="15"/>
      <c r="M900" s="15"/>
      <c r="N900" s="15"/>
      <c r="O900" s="15"/>
      <c r="P900" s="15"/>
      <c r="Q900" s="11"/>
      <c r="R900" s="11"/>
      <c r="S900" s="11"/>
      <c r="T900" s="11"/>
      <c r="U900" s="15"/>
      <c r="V900" s="11"/>
      <c r="W900" s="11"/>
      <c r="X900" s="11"/>
      <c r="Y900" s="11"/>
      <c r="Z900" s="11"/>
    </row>
    <row r="901">
      <c r="A901" s="18"/>
      <c r="B901" s="11"/>
      <c r="C901" s="11"/>
      <c r="D901" s="11"/>
      <c r="E901" s="11"/>
      <c r="F901" s="11"/>
      <c r="G901" s="11"/>
      <c r="H901" s="11"/>
      <c r="I901" s="11"/>
      <c r="J901" s="11"/>
      <c r="K901" s="11"/>
      <c r="L901" s="15"/>
      <c r="M901" s="15"/>
      <c r="N901" s="15"/>
      <c r="O901" s="15"/>
      <c r="P901" s="15"/>
      <c r="Q901" s="11"/>
      <c r="R901" s="11"/>
      <c r="S901" s="11"/>
      <c r="T901" s="11"/>
      <c r="U901" s="15"/>
      <c r="V901" s="11"/>
      <c r="W901" s="11"/>
      <c r="X901" s="11"/>
      <c r="Y901" s="11"/>
      <c r="Z901" s="11"/>
    </row>
    <row r="902">
      <c r="A902" s="18"/>
      <c r="B902" s="11"/>
      <c r="C902" s="11"/>
      <c r="D902" s="11"/>
      <c r="E902" s="11"/>
      <c r="F902" s="11"/>
      <c r="G902" s="11"/>
      <c r="H902" s="11"/>
      <c r="I902" s="11"/>
      <c r="J902" s="11"/>
      <c r="K902" s="11"/>
      <c r="L902" s="15"/>
      <c r="M902" s="15"/>
      <c r="N902" s="15"/>
      <c r="O902" s="15"/>
      <c r="P902" s="15"/>
      <c r="Q902" s="11"/>
      <c r="R902" s="11"/>
      <c r="S902" s="11"/>
      <c r="T902" s="11"/>
      <c r="U902" s="15"/>
      <c r="V902" s="11"/>
      <c r="W902" s="11"/>
      <c r="X902" s="11"/>
      <c r="Y902" s="11"/>
      <c r="Z902" s="11"/>
    </row>
    <row r="903">
      <c r="A903" s="18"/>
      <c r="B903" s="11"/>
      <c r="C903" s="11"/>
      <c r="D903" s="11"/>
      <c r="E903" s="11"/>
      <c r="F903" s="11"/>
      <c r="G903" s="11"/>
      <c r="H903" s="11"/>
      <c r="I903" s="11"/>
      <c r="J903" s="11"/>
      <c r="K903" s="11"/>
      <c r="L903" s="15"/>
      <c r="M903" s="15"/>
      <c r="N903" s="15"/>
      <c r="O903" s="15"/>
      <c r="P903" s="15"/>
      <c r="Q903" s="11"/>
      <c r="R903" s="11"/>
      <c r="S903" s="11"/>
      <c r="T903" s="11"/>
      <c r="U903" s="15"/>
      <c r="V903" s="11"/>
      <c r="W903" s="11"/>
      <c r="X903" s="11"/>
      <c r="Y903" s="11"/>
      <c r="Z903" s="11"/>
    </row>
    <row r="904">
      <c r="A904" s="18"/>
      <c r="B904" s="11"/>
      <c r="C904" s="11"/>
      <c r="D904" s="11"/>
      <c r="E904" s="11"/>
      <c r="F904" s="11"/>
      <c r="G904" s="11"/>
      <c r="H904" s="11"/>
      <c r="I904" s="11"/>
      <c r="J904" s="11"/>
      <c r="K904" s="11"/>
      <c r="L904" s="15"/>
      <c r="M904" s="15"/>
      <c r="N904" s="15"/>
      <c r="O904" s="15"/>
      <c r="P904" s="15"/>
      <c r="Q904" s="11"/>
      <c r="R904" s="11"/>
      <c r="S904" s="11"/>
      <c r="T904" s="11"/>
      <c r="U904" s="15"/>
      <c r="V904" s="11"/>
      <c r="W904" s="11"/>
      <c r="X904" s="11"/>
      <c r="Y904" s="11"/>
      <c r="Z904" s="11"/>
    </row>
    <row r="905">
      <c r="A905" s="18"/>
      <c r="B905" s="11"/>
      <c r="C905" s="11"/>
      <c r="D905" s="11"/>
      <c r="E905" s="11"/>
      <c r="F905" s="11"/>
      <c r="G905" s="11"/>
      <c r="H905" s="11"/>
      <c r="I905" s="11"/>
      <c r="J905" s="11"/>
      <c r="K905" s="11"/>
      <c r="L905" s="15"/>
      <c r="M905" s="15"/>
      <c r="N905" s="15"/>
      <c r="O905" s="15"/>
      <c r="P905" s="15"/>
      <c r="Q905" s="11"/>
      <c r="R905" s="11"/>
      <c r="S905" s="11"/>
      <c r="T905" s="11"/>
      <c r="U905" s="15"/>
      <c r="V905" s="11"/>
      <c r="W905" s="11"/>
      <c r="X905" s="11"/>
      <c r="Y905" s="11"/>
      <c r="Z905" s="11"/>
    </row>
    <row r="906">
      <c r="A906" s="18"/>
      <c r="B906" s="11"/>
      <c r="C906" s="11"/>
      <c r="D906" s="11"/>
      <c r="E906" s="11"/>
      <c r="F906" s="11"/>
      <c r="G906" s="11"/>
      <c r="H906" s="11"/>
      <c r="I906" s="11"/>
      <c r="J906" s="11"/>
      <c r="K906" s="11"/>
      <c r="L906" s="15"/>
      <c r="M906" s="15"/>
      <c r="N906" s="15"/>
      <c r="O906" s="15"/>
      <c r="P906" s="15"/>
      <c r="Q906" s="11"/>
      <c r="R906" s="11"/>
      <c r="S906" s="11"/>
      <c r="T906" s="11"/>
      <c r="U906" s="15"/>
      <c r="V906" s="11"/>
      <c r="W906" s="11"/>
      <c r="X906" s="11"/>
      <c r="Y906" s="11"/>
      <c r="Z906" s="11"/>
    </row>
    <row r="907">
      <c r="A907" s="18"/>
      <c r="B907" s="11"/>
      <c r="C907" s="11"/>
      <c r="D907" s="11"/>
      <c r="E907" s="11"/>
      <c r="F907" s="11"/>
      <c r="G907" s="11"/>
      <c r="H907" s="11"/>
      <c r="I907" s="11"/>
      <c r="J907" s="11"/>
      <c r="K907" s="11"/>
      <c r="L907" s="15"/>
      <c r="M907" s="15"/>
      <c r="N907" s="15"/>
      <c r="O907" s="15"/>
      <c r="P907" s="15"/>
      <c r="Q907" s="11"/>
      <c r="R907" s="11"/>
      <c r="S907" s="11"/>
      <c r="T907" s="11"/>
      <c r="U907" s="15"/>
      <c r="V907" s="11"/>
      <c r="W907" s="11"/>
      <c r="X907" s="11"/>
      <c r="Y907" s="11"/>
      <c r="Z907" s="11"/>
    </row>
    <row r="908">
      <c r="A908" s="18"/>
      <c r="B908" s="11"/>
      <c r="C908" s="11"/>
      <c r="D908" s="11"/>
      <c r="E908" s="11"/>
      <c r="F908" s="11"/>
      <c r="G908" s="11"/>
      <c r="H908" s="11"/>
      <c r="I908" s="11"/>
      <c r="J908" s="11"/>
      <c r="K908" s="11"/>
      <c r="L908" s="15"/>
      <c r="M908" s="15"/>
      <c r="N908" s="15"/>
      <c r="O908" s="15"/>
      <c r="P908" s="15"/>
      <c r="Q908" s="11"/>
      <c r="R908" s="11"/>
      <c r="S908" s="11"/>
      <c r="T908" s="11"/>
      <c r="U908" s="15"/>
      <c r="V908" s="11"/>
      <c r="W908" s="11"/>
      <c r="X908" s="11"/>
      <c r="Y908" s="11"/>
      <c r="Z908" s="11"/>
    </row>
    <row r="909">
      <c r="A909" s="18"/>
      <c r="B909" s="11"/>
      <c r="C909" s="11"/>
      <c r="D909" s="11"/>
      <c r="E909" s="11"/>
      <c r="F909" s="11"/>
      <c r="G909" s="11"/>
      <c r="H909" s="11"/>
      <c r="I909" s="11"/>
      <c r="J909" s="11"/>
      <c r="K909" s="11"/>
      <c r="L909" s="15"/>
      <c r="M909" s="15"/>
      <c r="N909" s="15"/>
      <c r="O909" s="15"/>
      <c r="P909" s="15"/>
      <c r="Q909" s="11"/>
      <c r="R909" s="11"/>
      <c r="S909" s="11"/>
      <c r="T909" s="11"/>
      <c r="U909" s="15"/>
      <c r="V909" s="11"/>
      <c r="W909" s="11"/>
      <c r="X909" s="11"/>
      <c r="Y909" s="11"/>
      <c r="Z909" s="11"/>
    </row>
    <row r="910">
      <c r="A910" s="18"/>
      <c r="B910" s="11"/>
      <c r="C910" s="11"/>
      <c r="D910" s="11"/>
      <c r="E910" s="11"/>
      <c r="F910" s="11"/>
      <c r="G910" s="11"/>
      <c r="H910" s="11"/>
      <c r="I910" s="11"/>
      <c r="J910" s="11"/>
      <c r="K910" s="11"/>
      <c r="L910" s="15"/>
      <c r="M910" s="15"/>
      <c r="N910" s="15"/>
      <c r="O910" s="15"/>
      <c r="P910" s="15"/>
      <c r="Q910" s="11"/>
      <c r="R910" s="11"/>
      <c r="S910" s="11"/>
      <c r="T910" s="11"/>
      <c r="U910" s="15"/>
      <c r="V910" s="11"/>
      <c r="W910" s="11"/>
      <c r="X910" s="11"/>
      <c r="Y910" s="11"/>
      <c r="Z910" s="11"/>
    </row>
    <row r="911">
      <c r="A911" s="18"/>
      <c r="B911" s="11"/>
      <c r="C911" s="11"/>
      <c r="D911" s="11"/>
      <c r="E911" s="11"/>
      <c r="F911" s="11"/>
      <c r="G911" s="11"/>
      <c r="H911" s="11"/>
      <c r="I911" s="11"/>
      <c r="J911" s="11"/>
      <c r="K911" s="11"/>
      <c r="L911" s="15"/>
      <c r="M911" s="15"/>
      <c r="N911" s="15"/>
      <c r="O911" s="15"/>
      <c r="P911" s="15"/>
      <c r="Q911" s="11"/>
      <c r="R911" s="11"/>
      <c r="S911" s="11"/>
      <c r="T911" s="11"/>
      <c r="U911" s="15"/>
      <c r="V911" s="11"/>
      <c r="W911" s="11"/>
      <c r="X911" s="11"/>
      <c r="Y911" s="11"/>
      <c r="Z911" s="11"/>
    </row>
    <row r="912">
      <c r="A912" s="18"/>
      <c r="B912" s="11"/>
      <c r="C912" s="11"/>
      <c r="D912" s="11"/>
      <c r="E912" s="11"/>
      <c r="F912" s="11"/>
      <c r="G912" s="11"/>
      <c r="H912" s="11"/>
      <c r="I912" s="11"/>
      <c r="J912" s="11"/>
      <c r="K912" s="11"/>
      <c r="L912" s="15"/>
      <c r="M912" s="15"/>
      <c r="N912" s="15"/>
      <c r="O912" s="15"/>
      <c r="P912" s="15"/>
      <c r="Q912" s="11"/>
      <c r="R912" s="11"/>
      <c r="S912" s="11"/>
      <c r="T912" s="11"/>
      <c r="U912" s="15"/>
      <c r="V912" s="11"/>
      <c r="W912" s="11"/>
      <c r="X912" s="11"/>
      <c r="Y912" s="11"/>
      <c r="Z912" s="11"/>
    </row>
    <row r="913">
      <c r="A913" s="18"/>
      <c r="B913" s="11"/>
      <c r="C913" s="11"/>
      <c r="D913" s="11"/>
      <c r="E913" s="11"/>
      <c r="F913" s="11"/>
      <c r="G913" s="11"/>
      <c r="H913" s="11"/>
      <c r="I913" s="11"/>
      <c r="J913" s="11"/>
      <c r="K913" s="11"/>
      <c r="L913" s="15"/>
      <c r="M913" s="15"/>
      <c r="N913" s="15"/>
      <c r="O913" s="15"/>
      <c r="P913" s="15"/>
      <c r="Q913" s="11"/>
      <c r="R913" s="11"/>
      <c r="S913" s="11"/>
      <c r="T913" s="11"/>
      <c r="U913" s="15"/>
      <c r="V913" s="11"/>
      <c r="W913" s="11"/>
      <c r="X913" s="11"/>
      <c r="Y913" s="11"/>
      <c r="Z913" s="11"/>
    </row>
    <row r="914">
      <c r="A914" s="18"/>
      <c r="B914" s="11"/>
      <c r="C914" s="11"/>
      <c r="D914" s="11"/>
      <c r="E914" s="11"/>
      <c r="F914" s="11"/>
      <c r="G914" s="11"/>
      <c r="H914" s="11"/>
      <c r="I914" s="11"/>
      <c r="J914" s="11"/>
      <c r="K914" s="11"/>
      <c r="L914" s="15"/>
      <c r="M914" s="15"/>
      <c r="N914" s="15"/>
      <c r="O914" s="15"/>
      <c r="P914" s="15"/>
      <c r="Q914" s="11"/>
      <c r="R914" s="11"/>
      <c r="S914" s="11"/>
      <c r="T914" s="11"/>
      <c r="U914" s="15"/>
      <c r="V914" s="11"/>
      <c r="W914" s="11"/>
      <c r="X914" s="11"/>
      <c r="Y914" s="11"/>
      <c r="Z914" s="11"/>
    </row>
    <row r="915">
      <c r="A915" s="18"/>
      <c r="B915" s="11"/>
      <c r="C915" s="11"/>
      <c r="D915" s="11"/>
      <c r="E915" s="11"/>
      <c r="F915" s="11"/>
      <c r="G915" s="11"/>
      <c r="H915" s="11"/>
      <c r="I915" s="11"/>
      <c r="J915" s="11"/>
      <c r="K915" s="11"/>
      <c r="L915" s="15"/>
      <c r="M915" s="15"/>
      <c r="N915" s="15"/>
      <c r="O915" s="15"/>
      <c r="P915" s="15"/>
      <c r="Q915" s="11"/>
      <c r="R915" s="11"/>
      <c r="S915" s="11"/>
      <c r="T915" s="11"/>
      <c r="U915" s="15"/>
      <c r="V915" s="11"/>
      <c r="W915" s="11"/>
      <c r="X915" s="11"/>
      <c r="Y915" s="11"/>
      <c r="Z915" s="11"/>
    </row>
    <row r="916">
      <c r="A916" s="18"/>
      <c r="B916" s="11"/>
      <c r="C916" s="11"/>
      <c r="D916" s="11"/>
      <c r="E916" s="11"/>
      <c r="F916" s="11"/>
      <c r="G916" s="11"/>
      <c r="H916" s="11"/>
      <c r="I916" s="11"/>
      <c r="J916" s="11"/>
      <c r="K916" s="11"/>
      <c r="L916" s="15"/>
      <c r="M916" s="15"/>
      <c r="N916" s="15"/>
      <c r="O916" s="15"/>
      <c r="P916" s="15"/>
      <c r="Q916" s="11"/>
      <c r="R916" s="11"/>
      <c r="S916" s="11"/>
      <c r="T916" s="11"/>
      <c r="U916" s="15"/>
      <c r="V916" s="11"/>
      <c r="W916" s="11"/>
      <c r="X916" s="11"/>
      <c r="Y916" s="11"/>
      <c r="Z916" s="11"/>
    </row>
    <row r="917">
      <c r="A917" s="18"/>
      <c r="B917" s="11"/>
      <c r="C917" s="11"/>
      <c r="D917" s="11"/>
      <c r="E917" s="11"/>
      <c r="F917" s="11"/>
      <c r="G917" s="11"/>
      <c r="H917" s="11"/>
      <c r="I917" s="11"/>
      <c r="J917" s="11"/>
      <c r="K917" s="11"/>
      <c r="L917" s="15"/>
      <c r="M917" s="15"/>
      <c r="N917" s="15"/>
      <c r="O917" s="15"/>
      <c r="P917" s="15"/>
      <c r="Q917" s="11"/>
      <c r="R917" s="11"/>
      <c r="S917" s="11"/>
      <c r="T917" s="11"/>
      <c r="U917" s="15"/>
      <c r="V917" s="11"/>
      <c r="W917" s="11"/>
      <c r="X917" s="11"/>
      <c r="Y917" s="11"/>
      <c r="Z917" s="11"/>
    </row>
    <row r="918">
      <c r="A918" s="18"/>
      <c r="B918" s="11"/>
      <c r="C918" s="11"/>
      <c r="D918" s="11"/>
      <c r="E918" s="11"/>
      <c r="F918" s="11"/>
      <c r="G918" s="11"/>
      <c r="H918" s="11"/>
      <c r="I918" s="11"/>
      <c r="J918" s="11"/>
      <c r="K918" s="11"/>
      <c r="L918" s="15"/>
      <c r="M918" s="15"/>
      <c r="N918" s="15"/>
      <c r="O918" s="15"/>
      <c r="P918" s="15"/>
      <c r="Q918" s="11"/>
      <c r="R918" s="11"/>
      <c r="S918" s="11"/>
      <c r="T918" s="11"/>
      <c r="U918" s="15"/>
      <c r="V918" s="11"/>
      <c r="W918" s="11"/>
      <c r="X918" s="11"/>
      <c r="Y918" s="11"/>
      <c r="Z918" s="11"/>
    </row>
    <row r="919">
      <c r="A919" s="18"/>
      <c r="B919" s="11"/>
      <c r="C919" s="11"/>
      <c r="D919" s="11"/>
      <c r="E919" s="11"/>
      <c r="F919" s="11"/>
      <c r="G919" s="11"/>
      <c r="H919" s="11"/>
      <c r="I919" s="11"/>
      <c r="J919" s="11"/>
      <c r="K919" s="11"/>
      <c r="L919" s="15"/>
      <c r="M919" s="15"/>
      <c r="N919" s="15"/>
      <c r="O919" s="15"/>
      <c r="P919" s="15"/>
      <c r="Q919" s="11"/>
      <c r="R919" s="11"/>
      <c r="S919" s="11"/>
      <c r="T919" s="11"/>
      <c r="U919" s="15"/>
      <c r="V919" s="11"/>
      <c r="W919" s="11"/>
      <c r="X919" s="11"/>
      <c r="Y919" s="11"/>
      <c r="Z919" s="11"/>
    </row>
    <row r="920">
      <c r="A920" s="18"/>
      <c r="B920" s="11"/>
      <c r="C920" s="11"/>
      <c r="D920" s="11"/>
      <c r="E920" s="11"/>
      <c r="F920" s="11"/>
      <c r="G920" s="11"/>
      <c r="H920" s="11"/>
      <c r="I920" s="11"/>
      <c r="J920" s="11"/>
      <c r="K920" s="11"/>
      <c r="L920" s="15"/>
      <c r="M920" s="15"/>
      <c r="N920" s="15"/>
      <c r="O920" s="15"/>
      <c r="P920" s="15"/>
      <c r="Q920" s="11"/>
      <c r="R920" s="11"/>
      <c r="S920" s="11"/>
      <c r="T920" s="11"/>
      <c r="U920" s="15"/>
      <c r="V920" s="11"/>
      <c r="W920" s="11"/>
      <c r="X920" s="11"/>
      <c r="Y920" s="11"/>
      <c r="Z920" s="11"/>
    </row>
    <row r="921">
      <c r="A921" s="18"/>
      <c r="B921" s="11"/>
      <c r="C921" s="11"/>
      <c r="D921" s="11"/>
      <c r="E921" s="11"/>
      <c r="F921" s="11"/>
      <c r="G921" s="11"/>
      <c r="H921" s="11"/>
      <c r="I921" s="11"/>
      <c r="J921" s="11"/>
      <c r="K921" s="11"/>
      <c r="L921" s="15"/>
      <c r="M921" s="15"/>
      <c r="N921" s="15"/>
      <c r="O921" s="15"/>
      <c r="P921" s="15"/>
      <c r="Q921" s="11"/>
      <c r="R921" s="11"/>
      <c r="S921" s="11"/>
      <c r="T921" s="11"/>
      <c r="U921" s="15"/>
      <c r="V921" s="11"/>
      <c r="W921" s="11"/>
      <c r="X921" s="11"/>
      <c r="Y921" s="11"/>
      <c r="Z921" s="11"/>
    </row>
    <row r="922">
      <c r="A922" s="18"/>
      <c r="B922" s="11"/>
      <c r="C922" s="11"/>
      <c r="D922" s="11"/>
      <c r="E922" s="11"/>
      <c r="F922" s="11"/>
      <c r="G922" s="11"/>
      <c r="H922" s="11"/>
      <c r="I922" s="11"/>
      <c r="J922" s="11"/>
      <c r="K922" s="11"/>
      <c r="L922" s="15"/>
      <c r="M922" s="15"/>
      <c r="N922" s="15"/>
      <c r="O922" s="15"/>
      <c r="P922" s="15"/>
      <c r="Q922" s="11"/>
      <c r="R922" s="11"/>
      <c r="S922" s="11"/>
      <c r="T922" s="11"/>
      <c r="U922" s="15"/>
      <c r="V922" s="11"/>
      <c r="W922" s="11"/>
      <c r="X922" s="11"/>
      <c r="Y922" s="11"/>
      <c r="Z922" s="11"/>
    </row>
    <row r="923">
      <c r="A923" s="18"/>
      <c r="B923" s="11"/>
      <c r="C923" s="11"/>
      <c r="D923" s="11"/>
      <c r="E923" s="11"/>
      <c r="F923" s="11"/>
      <c r="G923" s="11"/>
      <c r="H923" s="11"/>
      <c r="I923" s="11"/>
      <c r="J923" s="11"/>
      <c r="K923" s="11"/>
      <c r="L923" s="15"/>
      <c r="M923" s="15"/>
      <c r="N923" s="15"/>
      <c r="O923" s="15"/>
      <c r="P923" s="15"/>
      <c r="Q923" s="11"/>
      <c r="R923" s="11"/>
      <c r="S923" s="11"/>
      <c r="T923" s="11"/>
      <c r="U923" s="15"/>
      <c r="V923" s="11"/>
      <c r="W923" s="11"/>
      <c r="X923" s="11"/>
      <c r="Y923" s="11"/>
      <c r="Z923" s="11"/>
    </row>
    <row r="924">
      <c r="A924" s="18"/>
      <c r="B924" s="11"/>
      <c r="C924" s="11"/>
      <c r="D924" s="11"/>
      <c r="E924" s="11"/>
      <c r="F924" s="11"/>
      <c r="G924" s="11"/>
      <c r="H924" s="11"/>
      <c r="I924" s="11"/>
      <c r="J924" s="11"/>
      <c r="K924" s="11"/>
      <c r="L924" s="15"/>
      <c r="M924" s="15"/>
      <c r="N924" s="15"/>
      <c r="O924" s="15"/>
      <c r="P924" s="15"/>
      <c r="Q924" s="11"/>
      <c r="R924" s="11"/>
      <c r="S924" s="11"/>
      <c r="T924" s="11"/>
      <c r="U924" s="15"/>
      <c r="V924" s="11"/>
      <c r="W924" s="11"/>
      <c r="X924" s="11"/>
      <c r="Y924" s="11"/>
      <c r="Z924" s="11"/>
    </row>
    <row r="925">
      <c r="A925" s="18"/>
      <c r="B925" s="11"/>
      <c r="C925" s="11"/>
      <c r="D925" s="11"/>
      <c r="E925" s="11"/>
      <c r="F925" s="11"/>
      <c r="G925" s="11"/>
      <c r="H925" s="11"/>
      <c r="I925" s="11"/>
      <c r="J925" s="11"/>
      <c r="K925" s="11"/>
      <c r="L925" s="15"/>
      <c r="M925" s="15"/>
      <c r="N925" s="15"/>
      <c r="O925" s="15"/>
      <c r="P925" s="15"/>
      <c r="Q925" s="11"/>
      <c r="R925" s="11"/>
      <c r="S925" s="11"/>
      <c r="T925" s="11"/>
      <c r="U925" s="15"/>
      <c r="V925" s="11"/>
      <c r="W925" s="11"/>
      <c r="X925" s="11"/>
      <c r="Y925" s="11"/>
      <c r="Z925" s="11"/>
    </row>
    <row r="926">
      <c r="A926" s="18"/>
      <c r="B926" s="11"/>
      <c r="C926" s="11"/>
      <c r="D926" s="11"/>
      <c r="E926" s="11"/>
      <c r="F926" s="11"/>
      <c r="G926" s="11"/>
      <c r="H926" s="11"/>
      <c r="I926" s="11"/>
      <c r="J926" s="11"/>
      <c r="K926" s="11"/>
      <c r="L926" s="15"/>
      <c r="M926" s="15"/>
      <c r="N926" s="15"/>
      <c r="O926" s="15"/>
      <c r="P926" s="15"/>
      <c r="Q926" s="11"/>
      <c r="R926" s="11"/>
      <c r="S926" s="11"/>
      <c r="T926" s="11"/>
      <c r="U926" s="15"/>
      <c r="V926" s="11"/>
      <c r="W926" s="11"/>
      <c r="X926" s="11"/>
      <c r="Y926" s="11"/>
      <c r="Z926" s="11"/>
    </row>
    <row r="927">
      <c r="A927" s="18"/>
      <c r="B927" s="11"/>
      <c r="C927" s="11"/>
      <c r="D927" s="11"/>
      <c r="E927" s="11"/>
      <c r="F927" s="11"/>
      <c r="G927" s="11"/>
      <c r="H927" s="11"/>
      <c r="I927" s="11"/>
      <c r="J927" s="11"/>
      <c r="K927" s="11"/>
      <c r="L927" s="15"/>
      <c r="M927" s="15"/>
      <c r="N927" s="15"/>
      <c r="O927" s="15"/>
      <c r="P927" s="15"/>
      <c r="Q927" s="11"/>
      <c r="R927" s="11"/>
      <c r="S927" s="11"/>
      <c r="T927" s="11"/>
      <c r="U927" s="15"/>
      <c r="V927" s="11"/>
      <c r="W927" s="11"/>
      <c r="X927" s="11"/>
      <c r="Y927" s="11"/>
      <c r="Z927" s="11"/>
    </row>
    <row r="928">
      <c r="A928" s="18"/>
      <c r="B928" s="11"/>
      <c r="C928" s="11"/>
      <c r="D928" s="11"/>
      <c r="E928" s="11"/>
      <c r="F928" s="11"/>
      <c r="G928" s="11"/>
      <c r="H928" s="11"/>
      <c r="I928" s="11"/>
      <c r="J928" s="11"/>
      <c r="K928" s="11"/>
      <c r="L928" s="15"/>
      <c r="M928" s="15"/>
      <c r="N928" s="15"/>
      <c r="O928" s="15"/>
      <c r="P928" s="15"/>
      <c r="Q928" s="11"/>
      <c r="R928" s="11"/>
      <c r="S928" s="11"/>
      <c r="T928" s="11"/>
      <c r="U928" s="15"/>
      <c r="V928" s="11"/>
      <c r="W928" s="11"/>
      <c r="X928" s="11"/>
      <c r="Y928" s="11"/>
      <c r="Z928" s="11"/>
    </row>
    <row r="929">
      <c r="A929" s="18"/>
      <c r="B929" s="11"/>
      <c r="C929" s="11"/>
      <c r="D929" s="11"/>
      <c r="E929" s="11"/>
      <c r="F929" s="11"/>
      <c r="G929" s="11"/>
      <c r="H929" s="11"/>
      <c r="I929" s="11"/>
      <c r="J929" s="11"/>
      <c r="K929" s="11"/>
      <c r="L929" s="15"/>
      <c r="M929" s="15"/>
      <c r="N929" s="15"/>
      <c r="O929" s="15"/>
      <c r="P929" s="15"/>
      <c r="Q929" s="11"/>
      <c r="R929" s="11"/>
      <c r="S929" s="11"/>
      <c r="T929" s="11"/>
      <c r="U929" s="15"/>
      <c r="V929" s="11"/>
      <c r="W929" s="11"/>
      <c r="X929" s="11"/>
      <c r="Y929" s="11"/>
      <c r="Z929" s="11"/>
    </row>
    <row r="930">
      <c r="A930" s="18"/>
      <c r="B930" s="11"/>
      <c r="C930" s="11"/>
      <c r="D930" s="11"/>
      <c r="E930" s="11"/>
      <c r="F930" s="11"/>
      <c r="G930" s="11"/>
      <c r="H930" s="11"/>
      <c r="I930" s="11"/>
      <c r="J930" s="11"/>
      <c r="K930" s="11"/>
      <c r="L930" s="15"/>
      <c r="M930" s="15"/>
      <c r="N930" s="15"/>
      <c r="O930" s="15"/>
      <c r="P930" s="15"/>
      <c r="Q930" s="11"/>
      <c r="R930" s="11"/>
      <c r="S930" s="11"/>
      <c r="T930" s="11"/>
      <c r="U930" s="15"/>
      <c r="V930" s="11"/>
      <c r="W930" s="11"/>
      <c r="X930" s="11"/>
      <c r="Y930" s="11"/>
      <c r="Z930" s="11"/>
    </row>
    <row r="931">
      <c r="A931" s="18"/>
      <c r="B931" s="11"/>
      <c r="C931" s="11"/>
      <c r="D931" s="11"/>
      <c r="E931" s="11"/>
      <c r="F931" s="11"/>
      <c r="G931" s="11"/>
      <c r="H931" s="11"/>
      <c r="I931" s="11"/>
      <c r="J931" s="11"/>
      <c r="K931" s="11"/>
      <c r="L931" s="15"/>
      <c r="M931" s="15"/>
      <c r="N931" s="15"/>
      <c r="O931" s="15"/>
      <c r="P931" s="15"/>
      <c r="Q931" s="11"/>
      <c r="R931" s="11"/>
      <c r="S931" s="11"/>
      <c r="T931" s="11"/>
      <c r="U931" s="15"/>
      <c r="V931" s="11"/>
      <c r="W931" s="11"/>
      <c r="X931" s="11"/>
      <c r="Y931" s="11"/>
      <c r="Z931" s="11"/>
    </row>
    <row r="932">
      <c r="A932" s="18"/>
      <c r="B932" s="11"/>
      <c r="C932" s="11"/>
      <c r="D932" s="11"/>
      <c r="E932" s="11"/>
      <c r="F932" s="11"/>
      <c r="G932" s="11"/>
      <c r="H932" s="11"/>
      <c r="I932" s="11"/>
      <c r="J932" s="11"/>
      <c r="K932" s="11"/>
      <c r="L932" s="15"/>
      <c r="M932" s="15"/>
      <c r="N932" s="15"/>
      <c r="O932" s="15"/>
      <c r="P932" s="15"/>
      <c r="Q932" s="11"/>
      <c r="R932" s="11"/>
      <c r="S932" s="11"/>
      <c r="T932" s="11"/>
      <c r="U932" s="15"/>
      <c r="V932" s="11"/>
      <c r="W932" s="11"/>
      <c r="X932" s="11"/>
      <c r="Y932" s="11"/>
      <c r="Z932" s="11"/>
    </row>
    <row r="933">
      <c r="A933" s="18"/>
      <c r="B933" s="11"/>
      <c r="C933" s="11"/>
      <c r="D933" s="11"/>
      <c r="E933" s="11"/>
      <c r="F933" s="11"/>
      <c r="G933" s="11"/>
      <c r="H933" s="11"/>
      <c r="I933" s="11"/>
      <c r="J933" s="11"/>
      <c r="K933" s="11"/>
      <c r="L933" s="15"/>
      <c r="M933" s="15"/>
      <c r="N933" s="15"/>
      <c r="O933" s="15"/>
      <c r="P933" s="15"/>
      <c r="Q933" s="11"/>
      <c r="R933" s="11"/>
      <c r="S933" s="11"/>
      <c r="T933" s="11"/>
      <c r="U933" s="15"/>
      <c r="V933" s="11"/>
      <c r="W933" s="11"/>
      <c r="X933" s="11"/>
      <c r="Y933" s="11"/>
      <c r="Z933" s="11"/>
    </row>
    <row r="934">
      <c r="A934" s="18"/>
      <c r="B934" s="11"/>
      <c r="C934" s="11"/>
      <c r="D934" s="11"/>
      <c r="E934" s="11"/>
      <c r="F934" s="11"/>
      <c r="G934" s="11"/>
      <c r="H934" s="11"/>
      <c r="I934" s="11"/>
      <c r="J934" s="11"/>
      <c r="K934" s="11"/>
      <c r="L934" s="15"/>
      <c r="M934" s="15"/>
      <c r="N934" s="15"/>
      <c r="O934" s="15"/>
      <c r="P934" s="15"/>
      <c r="Q934" s="11"/>
      <c r="R934" s="11"/>
      <c r="S934" s="11"/>
      <c r="T934" s="11"/>
      <c r="U934" s="15"/>
      <c r="V934" s="11"/>
      <c r="W934" s="11"/>
      <c r="X934" s="11"/>
      <c r="Y934" s="11"/>
      <c r="Z934" s="11"/>
    </row>
    <row r="935">
      <c r="A935" s="18"/>
      <c r="B935" s="11"/>
      <c r="C935" s="11"/>
      <c r="D935" s="11"/>
      <c r="E935" s="11"/>
      <c r="F935" s="11"/>
      <c r="G935" s="11"/>
      <c r="H935" s="11"/>
      <c r="I935" s="11"/>
      <c r="J935" s="11"/>
      <c r="K935" s="11"/>
      <c r="L935" s="15"/>
      <c r="M935" s="15"/>
      <c r="N935" s="15"/>
      <c r="O935" s="15"/>
      <c r="P935" s="15"/>
      <c r="Q935" s="11"/>
      <c r="R935" s="11"/>
      <c r="S935" s="11"/>
      <c r="T935" s="11"/>
      <c r="U935" s="15"/>
      <c r="V935" s="11"/>
      <c r="W935" s="11"/>
      <c r="X935" s="11"/>
      <c r="Y935" s="11"/>
      <c r="Z935" s="11"/>
    </row>
    <row r="936">
      <c r="A936" s="18"/>
      <c r="B936" s="11"/>
      <c r="C936" s="11"/>
      <c r="D936" s="11"/>
      <c r="E936" s="11"/>
      <c r="F936" s="11"/>
      <c r="G936" s="11"/>
      <c r="H936" s="11"/>
      <c r="I936" s="11"/>
      <c r="J936" s="11"/>
      <c r="K936" s="11"/>
      <c r="L936" s="15"/>
      <c r="M936" s="15"/>
      <c r="N936" s="15"/>
      <c r="O936" s="15"/>
      <c r="P936" s="15"/>
      <c r="Q936" s="11"/>
      <c r="R936" s="11"/>
      <c r="S936" s="11"/>
      <c r="T936" s="11"/>
      <c r="U936" s="15"/>
      <c r="V936" s="11"/>
      <c r="W936" s="11"/>
      <c r="X936" s="11"/>
      <c r="Y936" s="11"/>
      <c r="Z936" s="11"/>
    </row>
    <row r="937">
      <c r="A937" s="18"/>
      <c r="B937" s="11"/>
      <c r="C937" s="11"/>
      <c r="D937" s="11"/>
      <c r="E937" s="11"/>
      <c r="F937" s="11"/>
      <c r="G937" s="11"/>
      <c r="H937" s="11"/>
      <c r="I937" s="11"/>
      <c r="J937" s="11"/>
      <c r="K937" s="11"/>
      <c r="L937" s="15"/>
      <c r="M937" s="15"/>
      <c r="N937" s="15"/>
      <c r="O937" s="15"/>
      <c r="P937" s="15"/>
      <c r="Q937" s="11"/>
      <c r="R937" s="11"/>
      <c r="S937" s="11"/>
      <c r="T937" s="11"/>
      <c r="U937" s="15"/>
      <c r="V937" s="11"/>
      <c r="W937" s="11"/>
      <c r="X937" s="11"/>
      <c r="Y937" s="11"/>
      <c r="Z937" s="11"/>
    </row>
    <row r="938">
      <c r="A938" s="18"/>
      <c r="B938" s="11"/>
      <c r="C938" s="11"/>
      <c r="D938" s="11"/>
      <c r="E938" s="11"/>
      <c r="F938" s="11"/>
      <c r="G938" s="11"/>
      <c r="H938" s="11"/>
      <c r="I938" s="11"/>
      <c r="J938" s="11"/>
      <c r="K938" s="11"/>
      <c r="L938" s="15"/>
      <c r="M938" s="15"/>
      <c r="N938" s="15"/>
      <c r="O938" s="15"/>
      <c r="P938" s="15"/>
      <c r="Q938" s="11"/>
      <c r="R938" s="11"/>
      <c r="S938" s="11"/>
      <c r="T938" s="11"/>
      <c r="U938" s="15"/>
      <c r="V938" s="11"/>
      <c r="W938" s="11"/>
      <c r="X938" s="11"/>
      <c r="Y938" s="11"/>
      <c r="Z938" s="11"/>
    </row>
    <row r="939">
      <c r="A939" s="18"/>
      <c r="B939" s="11"/>
      <c r="C939" s="11"/>
      <c r="D939" s="11"/>
      <c r="E939" s="11"/>
      <c r="F939" s="11"/>
      <c r="G939" s="11"/>
      <c r="H939" s="11"/>
      <c r="I939" s="11"/>
      <c r="J939" s="11"/>
      <c r="K939" s="11"/>
      <c r="L939" s="15"/>
      <c r="M939" s="15"/>
      <c r="N939" s="15"/>
      <c r="O939" s="15"/>
      <c r="P939" s="15"/>
      <c r="Q939" s="11"/>
      <c r="R939" s="11"/>
      <c r="S939" s="11"/>
      <c r="T939" s="11"/>
      <c r="U939" s="15"/>
      <c r="V939" s="11"/>
      <c r="W939" s="11"/>
      <c r="X939" s="11"/>
      <c r="Y939" s="11"/>
      <c r="Z939" s="11"/>
    </row>
    <row r="940">
      <c r="A940" s="18"/>
      <c r="B940" s="11"/>
      <c r="C940" s="11"/>
      <c r="D940" s="11"/>
      <c r="E940" s="11"/>
      <c r="F940" s="11"/>
      <c r="G940" s="11"/>
      <c r="H940" s="11"/>
      <c r="I940" s="11"/>
      <c r="J940" s="11"/>
      <c r="K940" s="11"/>
      <c r="L940" s="15"/>
      <c r="M940" s="15"/>
      <c r="N940" s="15"/>
      <c r="O940" s="15"/>
      <c r="P940" s="15"/>
      <c r="Q940" s="11"/>
      <c r="R940" s="11"/>
      <c r="S940" s="11"/>
      <c r="T940" s="11"/>
      <c r="U940" s="15"/>
      <c r="V940" s="11"/>
      <c r="W940" s="11"/>
      <c r="X940" s="11"/>
      <c r="Y940" s="11"/>
      <c r="Z940" s="11"/>
    </row>
    <row r="941">
      <c r="A941" s="18"/>
      <c r="B941" s="11"/>
      <c r="C941" s="11"/>
      <c r="D941" s="11"/>
      <c r="E941" s="11"/>
      <c r="F941" s="11"/>
      <c r="G941" s="11"/>
      <c r="H941" s="11"/>
      <c r="I941" s="11"/>
      <c r="J941" s="11"/>
      <c r="K941" s="11"/>
      <c r="L941" s="15"/>
      <c r="M941" s="15"/>
      <c r="N941" s="15"/>
      <c r="O941" s="15"/>
      <c r="P941" s="15"/>
      <c r="Q941" s="11"/>
      <c r="R941" s="11"/>
      <c r="S941" s="11"/>
      <c r="T941" s="11"/>
      <c r="U941" s="15"/>
      <c r="V941" s="11"/>
      <c r="W941" s="11"/>
      <c r="X941" s="11"/>
      <c r="Y941" s="11"/>
      <c r="Z941" s="11"/>
    </row>
    <row r="942">
      <c r="A942" s="18"/>
      <c r="B942" s="11"/>
      <c r="C942" s="11"/>
      <c r="D942" s="11"/>
      <c r="E942" s="11"/>
      <c r="F942" s="11"/>
      <c r="G942" s="11"/>
      <c r="H942" s="11"/>
      <c r="I942" s="11"/>
      <c r="J942" s="11"/>
      <c r="K942" s="11"/>
      <c r="L942" s="15"/>
      <c r="M942" s="15"/>
      <c r="N942" s="15"/>
      <c r="O942" s="15"/>
      <c r="P942" s="15"/>
      <c r="Q942" s="11"/>
      <c r="R942" s="11"/>
      <c r="S942" s="11"/>
      <c r="T942" s="11"/>
      <c r="U942" s="15"/>
      <c r="V942" s="11"/>
      <c r="W942" s="11"/>
      <c r="X942" s="11"/>
      <c r="Y942" s="11"/>
      <c r="Z942" s="11"/>
    </row>
    <row r="943">
      <c r="A943" s="18"/>
      <c r="B943" s="11"/>
      <c r="C943" s="11"/>
      <c r="D943" s="11"/>
      <c r="E943" s="11"/>
      <c r="F943" s="11"/>
      <c r="G943" s="11"/>
      <c r="H943" s="11"/>
      <c r="I943" s="11"/>
      <c r="J943" s="11"/>
      <c r="K943" s="11"/>
      <c r="L943" s="15"/>
      <c r="M943" s="15"/>
      <c r="N943" s="15"/>
      <c r="O943" s="15"/>
      <c r="P943" s="15"/>
      <c r="Q943" s="11"/>
      <c r="R943" s="11"/>
      <c r="S943" s="11"/>
      <c r="T943" s="11"/>
      <c r="U943" s="15"/>
      <c r="V943" s="11"/>
      <c r="W943" s="11"/>
      <c r="X943" s="11"/>
      <c r="Y943" s="11"/>
      <c r="Z943" s="11"/>
    </row>
    <row r="944">
      <c r="A944" s="18"/>
      <c r="B944" s="11"/>
      <c r="C944" s="11"/>
      <c r="D944" s="11"/>
      <c r="E944" s="11"/>
      <c r="F944" s="11"/>
      <c r="G944" s="11"/>
      <c r="H944" s="11"/>
      <c r="I944" s="11"/>
      <c r="J944" s="11"/>
      <c r="K944" s="11"/>
      <c r="L944" s="15"/>
      <c r="M944" s="15"/>
      <c r="N944" s="15"/>
      <c r="O944" s="15"/>
      <c r="P944" s="15"/>
      <c r="Q944" s="11"/>
      <c r="R944" s="11"/>
      <c r="S944" s="11"/>
      <c r="T944" s="11"/>
      <c r="U944" s="15"/>
      <c r="V944" s="11"/>
      <c r="W944" s="11"/>
      <c r="X944" s="11"/>
      <c r="Y944" s="11"/>
      <c r="Z944" s="11"/>
    </row>
    <row r="945">
      <c r="A945" s="18"/>
      <c r="B945" s="11"/>
      <c r="C945" s="11"/>
      <c r="D945" s="11"/>
      <c r="E945" s="11"/>
      <c r="F945" s="11"/>
      <c r="G945" s="11"/>
      <c r="H945" s="11"/>
      <c r="I945" s="11"/>
      <c r="J945" s="11"/>
      <c r="K945" s="11"/>
      <c r="L945" s="15"/>
      <c r="M945" s="15"/>
      <c r="N945" s="15"/>
      <c r="O945" s="15"/>
      <c r="P945" s="15"/>
      <c r="Q945" s="11"/>
      <c r="R945" s="11"/>
      <c r="S945" s="11"/>
      <c r="T945" s="11"/>
      <c r="U945" s="15"/>
      <c r="V945" s="11"/>
      <c r="W945" s="11"/>
      <c r="X945" s="11"/>
      <c r="Y945" s="11"/>
      <c r="Z945" s="11"/>
    </row>
    <row r="946">
      <c r="A946" s="18"/>
      <c r="B946" s="11"/>
      <c r="C946" s="11"/>
      <c r="D946" s="11"/>
      <c r="E946" s="11"/>
      <c r="F946" s="11"/>
      <c r="G946" s="11"/>
      <c r="H946" s="11"/>
      <c r="I946" s="11"/>
      <c r="J946" s="11"/>
      <c r="K946" s="11"/>
      <c r="L946" s="15"/>
      <c r="M946" s="15"/>
      <c r="N946" s="15"/>
      <c r="O946" s="15"/>
      <c r="P946" s="15"/>
      <c r="Q946" s="11"/>
      <c r="R946" s="11"/>
      <c r="S946" s="11"/>
      <c r="T946" s="11"/>
      <c r="U946" s="15"/>
      <c r="V946" s="11"/>
      <c r="W946" s="11"/>
      <c r="X946" s="11"/>
      <c r="Y946" s="11"/>
      <c r="Z946" s="11"/>
    </row>
    <row r="947">
      <c r="A947" s="18"/>
      <c r="B947" s="11"/>
      <c r="C947" s="11"/>
      <c r="D947" s="11"/>
      <c r="E947" s="11"/>
      <c r="F947" s="11"/>
      <c r="G947" s="11"/>
      <c r="H947" s="11"/>
      <c r="I947" s="11"/>
      <c r="J947" s="11"/>
      <c r="K947" s="11"/>
      <c r="L947" s="15"/>
      <c r="M947" s="15"/>
      <c r="N947" s="15"/>
      <c r="O947" s="15"/>
      <c r="P947" s="15"/>
      <c r="Q947" s="11"/>
      <c r="R947" s="11"/>
      <c r="S947" s="11"/>
      <c r="T947" s="11"/>
      <c r="U947" s="15"/>
      <c r="V947" s="11"/>
      <c r="W947" s="11"/>
      <c r="X947" s="11"/>
      <c r="Y947" s="11"/>
      <c r="Z947" s="11"/>
    </row>
    <row r="948">
      <c r="A948" s="18"/>
      <c r="B948" s="11"/>
      <c r="C948" s="11"/>
      <c r="D948" s="11"/>
      <c r="E948" s="11"/>
      <c r="F948" s="11"/>
      <c r="G948" s="11"/>
      <c r="H948" s="11"/>
      <c r="I948" s="11"/>
      <c r="J948" s="11"/>
      <c r="K948" s="11"/>
      <c r="L948" s="15"/>
      <c r="M948" s="15"/>
      <c r="N948" s="15"/>
      <c r="O948" s="15"/>
      <c r="P948" s="15"/>
      <c r="Q948" s="11"/>
      <c r="R948" s="11"/>
      <c r="S948" s="11"/>
      <c r="T948" s="11"/>
      <c r="U948" s="15"/>
      <c r="V948" s="11"/>
      <c r="W948" s="11"/>
      <c r="X948" s="11"/>
      <c r="Y948" s="11"/>
      <c r="Z948" s="11"/>
    </row>
    <row r="949">
      <c r="A949" s="18"/>
      <c r="B949" s="11"/>
      <c r="C949" s="11"/>
      <c r="D949" s="11"/>
      <c r="E949" s="11"/>
      <c r="F949" s="11"/>
      <c r="G949" s="11"/>
      <c r="H949" s="11"/>
      <c r="I949" s="11"/>
      <c r="J949" s="11"/>
      <c r="K949" s="11"/>
      <c r="L949" s="15"/>
      <c r="M949" s="15"/>
      <c r="N949" s="15"/>
      <c r="O949" s="15"/>
      <c r="P949" s="15"/>
      <c r="Q949" s="11"/>
      <c r="R949" s="11"/>
      <c r="S949" s="11"/>
      <c r="T949" s="11"/>
      <c r="U949" s="15"/>
      <c r="V949" s="11"/>
      <c r="W949" s="11"/>
      <c r="X949" s="11"/>
      <c r="Y949" s="11"/>
      <c r="Z949" s="11"/>
    </row>
    <row r="950">
      <c r="A950" s="18"/>
      <c r="B950" s="11"/>
      <c r="C950" s="11"/>
      <c r="D950" s="11"/>
      <c r="E950" s="11"/>
      <c r="F950" s="11"/>
      <c r="G950" s="11"/>
      <c r="H950" s="11"/>
      <c r="I950" s="11"/>
      <c r="J950" s="11"/>
      <c r="K950" s="11"/>
      <c r="L950" s="15"/>
      <c r="M950" s="15"/>
      <c r="N950" s="15"/>
      <c r="O950" s="15"/>
      <c r="P950" s="15"/>
      <c r="Q950" s="11"/>
      <c r="R950" s="11"/>
      <c r="S950" s="11"/>
      <c r="T950" s="11"/>
      <c r="U950" s="15"/>
      <c r="V950" s="11"/>
      <c r="W950" s="11"/>
      <c r="X950" s="11"/>
      <c r="Y950" s="11"/>
      <c r="Z950" s="11"/>
    </row>
    <row r="951">
      <c r="A951" s="18"/>
      <c r="B951" s="11"/>
      <c r="C951" s="11"/>
      <c r="D951" s="11"/>
      <c r="E951" s="11"/>
      <c r="F951" s="11"/>
      <c r="G951" s="11"/>
      <c r="H951" s="11"/>
      <c r="I951" s="11"/>
      <c r="J951" s="11"/>
      <c r="K951" s="11"/>
      <c r="L951" s="15"/>
      <c r="M951" s="15"/>
      <c r="N951" s="15"/>
      <c r="O951" s="15"/>
      <c r="P951" s="15"/>
      <c r="Q951" s="11"/>
      <c r="R951" s="11"/>
      <c r="S951" s="11"/>
      <c r="T951" s="11"/>
      <c r="U951" s="15"/>
      <c r="V951" s="11"/>
      <c r="W951" s="11"/>
      <c r="X951" s="11"/>
      <c r="Y951" s="11"/>
      <c r="Z951" s="11"/>
    </row>
    <row r="952">
      <c r="A952" s="18"/>
      <c r="B952" s="11"/>
      <c r="C952" s="11"/>
      <c r="D952" s="11"/>
      <c r="E952" s="11"/>
      <c r="F952" s="11"/>
      <c r="G952" s="11"/>
      <c r="H952" s="11"/>
      <c r="I952" s="11"/>
      <c r="J952" s="11"/>
      <c r="K952" s="11"/>
      <c r="L952" s="15"/>
      <c r="M952" s="15"/>
      <c r="N952" s="15"/>
      <c r="O952" s="15"/>
      <c r="P952" s="15"/>
      <c r="Q952" s="11"/>
      <c r="R952" s="11"/>
      <c r="S952" s="11"/>
      <c r="T952" s="11"/>
      <c r="U952" s="15"/>
      <c r="V952" s="11"/>
      <c r="W952" s="11"/>
      <c r="X952" s="11"/>
      <c r="Y952" s="11"/>
      <c r="Z952" s="11"/>
    </row>
    <row r="953">
      <c r="A953" s="18"/>
      <c r="B953" s="11"/>
      <c r="C953" s="11"/>
      <c r="D953" s="11"/>
      <c r="E953" s="11"/>
      <c r="F953" s="11"/>
      <c r="G953" s="11"/>
      <c r="H953" s="11"/>
      <c r="I953" s="11"/>
      <c r="J953" s="11"/>
      <c r="K953" s="11"/>
      <c r="L953" s="15"/>
      <c r="M953" s="15"/>
      <c r="N953" s="15"/>
      <c r="O953" s="15"/>
      <c r="P953" s="15"/>
      <c r="Q953" s="11"/>
      <c r="R953" s="11"/>
      <c r="S953" s="11"/>
      <c r="T953" s="11"/>
      <c r="U953" s="15"/>
      <c r="V953" s="11"/>
      <c r="W953" s="11"/>
      <c r="X953" s="11"/>
      <c r="Y953" s="11"/>
      <c r="Z953" s="11"/>
    </row>
    <row r="954">
      <c r="A954" s="18"/>
      <c r="B954" s="11"/>
      <c r="C954" s="11"/>
      <c r="D954" s="11"/>
      <c r="E954" s="11"/>
      <c r="F954" s="11"/>
      <c r="G954" s="11"/>
      <c r="H954" s="11"/>
      <c r="I954" s="11"/>
      <c r="J954" s="11"/>
      <c r="K954" s="11"/>
      <c r="L954" s="15"/>
      <c r="M954" s="15"/>
      <c r="N954" s="15"/>
      <c r="O954" s="15"/>
      <c r="P954" s="15"/>
      <c r="Q954" s="11"/>
      <c r="R954" s="11"/>
      <c r="S954" s="11"/>
      <c r="T954" s="11"/>
      <c r="U954" s="15"/>
      <c r="V954" s="11"/>
      <c r="W954" s="11"/>
      <c r="X954" s="11"/>
      <c r="Y954" s="11"/>
      <c r="Z954" s="11"/>
    </row>
    <row r="955">
      <c r="A955" s="18"/>
      <c r="B955" s="11"/>
      <c r="C955" s="11"/>
      <c r="D955" s="11"/>
      <c r="E955" s="11"/>
      <c r="F955" s="11"/>
      <c r="G955" s="11"/>
      <c r="H955" s="11"/>
      <c r="I955" s="11"/>
      <c r="J955" s="11"/>
      <c r="K955" s="11"/>
      <c r="L955" s="15"/>
      <c r="M955" s="15"/>
      <c r="N955" s="15"/>
      <c r="O955" s="15"/>
      <c r="P955" s="15"/>
      <c r="Q955" s="11"/>
      <c r="R955" s="11"/>
      <c r="S955" s="11"/>
      <c r="T955" s="11"/>
      <c r="U955" s="15"/>
      <c r="V955" s="11"/>
      <c r="W955" s="11"/>
      <c r="X955" s="11"/>
      <c r="Y955" s="11"/>
      <c r="Z955" s="11"/>
    </row>
    <row r="956">
      <c r="A956" s="18"/>
      <c r="B956" s="11"/>
      <c r="C956" s="11"/>
      <c r="D956" s="11"/>
      <c r="E956" s="11"/>
      <c r="F956" s="11"/>
      <c r="G956" s="11"/>
      <c r="H956" s="11"/>
      <c r="I956" s="11"/>
      <c r="J956" s="11"/>
      <c r="K956" s="11"/>
      <c r="L956" s="15"/>
      <c r="M956" s="15"/>
      <c r="N956" s="15"/>
      <c r="O956" s="15"/>
      <c r="P956" s="15"/>
      <c r="Q956" s="11"/>
      <c r="R956" s="11"/>
      <c r="S956" s="11"/>
      <c r="T956" s="11"/>
      <c r="U956" s="15"/>
      <c r="V956" s="11"/>
      <c r="W956" s="11"/>
      <c r="X956" s="11"/>
      <c r="Y956" s="11"/>
      <c r="Z956" s="11"/>
    </row>
    <row r="957">
      <c r="A957" s="18"/>
      <c r="B957" s="11"/>
      <c r="C957" s="11"/>
      <c r="D957" s="11"/>
      <c r="E957" s="11"/>
      <c r="F957" s="11"/>
      <c r="G957" s="11"/>
      <c r="H957" s="11"/>
      <c r="I957" s="11"/>
      <c r="J957" s="11"/>
      <c r="K957" s="11"/>
      <c r="L957" s="15"/>
      <c r="M957" s="15"/>
      <c r="N957" s="15"/>
      <c r="O957" s="15"/>
      <c r="P957" s="15"/>
      <c r="Q957" s="11"/>
      <c r="R957" s="11"/>
      <c r="S957" s="11"/>
      <c r="T957" s="11"/>
      <c r="U957" s="15"/>
      <c r="V957" s="11"/>
      <c r="W957" s="11"/>
      <c r="X957" s="11"/>
      <c r="Y957" s="11"/>
      <c r="Z957" s="11"/>
    </row>
    <row r="958">
      <c r="A958" s="18"/>
      <c r="B958" s="11"/>
      <c r="C958" s="11"/>
      <c r="D958" s="11"/>
      <c r="E958" s="11"/>
      <c r="F958" s="11"/>
      <c r="G958" s="11"/>
      <c r="H958" s="11"/>
      <c r="I958" s="11"/>
      <c r="J958" s="11"/>
      <c r="K958" s="11"/>
      <c r="L958" s="15"/>
      <c r="M958" s="15"/>
      <c r="N958" s="15"/>
      <c r="O958" s="15"/>
      <c r="P958" s="15"/>
      <c r="Q958" s="11"/>
      <c r="R958" s="11"/>
      <c r="S958" s="11"/>
      <c r="T958" s="11"/>
      <c r="U958" s="15"/>
      <c r="V958" s="11"/>
      <c r="W958" s="11"/>
      <c r="X958" s="11"/>
      <c r="Y958" s="11"/>
      <c r="Z958" s="11"/>
    </row>
    <row r="959">
      <c r="A959" s="18"/>
      <c r="B959" s="11"/>
      <c r="C959" s="11"/>
      <c r="D959" s="11"/>
      <c r="E959" s="11"/>
      <c r="F959" s="11"/>
      <c r="G959" s="11"/>
      <c r="H959" s="11"/>
      <c r="I959" s="11"/>
      <c r="J959" s="11"/>
      <c r="K959" s="11"/>
      <c r="L959" s="15"/>
      <c r="M959" s="15"/>
      <c r="N959" s="15"/>
      <c r="O959" s="15"/>
      <c r="P959" s="15"/>
      <c r="Q959" s="11"/>
      <c r="R959" s="11"/>
      <c r="S959" s="11"/>
      <c r="T959" s="11"/>
      <c r="U959" s="15"/>
      <c r="V959" s="11"/>
      <c r="W959" s="11"/>
      <c r="X959" s="11"/>
      <c r="Y959" s="11"/>
      <c r="Z959" s="11"/>
    </row>
    <row r="960">
      <c r="A960" s="18"/>
      <c r="B960" s="11"/>
      <c r="C960" s="11"/>
      <c r="D960" s="11"/>
      <c r="E960" s="11"/>
      <c r="F960" s="11"/>
      <c r="G960" s="11"/>
      <c r="H960" s="11"/>
      <c r="I960" s="11"/>
      <c r="J960" s="11"/>
      <c r="K960" s="11"/>
      <c r="L960" s="15"/>
      <c r="M960" s="15"/>
      <c r="N960" s="15"/>
      <c r="O960" s="15"/>
      <c r="P960" s="15"/>
      <c r="Q960" s="11"/>
      <c r="R960" s="11"/>
      <c r="S960" s="11"/>
      <c r="T960" s="11"/>
      <c r="U960" s="15"/>
      <c r="V960" s="11"/>
      <c r="W960" s="11"/>
      <c r="X960" s="11"/>
      <c r="Y960" s="11"/>
      <c r="Z960" s="11"/>
    </row>
    <row r="961">
      <c r="A961" s="18"/>
      <c r="B961" s="11"/>
      <c r="C961" s="11"/>
      <c r="D961" s="11"/>
      <c r="E961" s="11"/>
      <c r="F961" s="11"/>
      <c r="G961" s="11"/>
      <c r="H961" s="11"/>
      <c r="I961" s="11"/>
      <c r="J961" s="11"/>
      <c r="K961" s="11"/>
      <c r="L961" s="15"/>
      <c r="M961" s="15"/>
      <c r="N961" s="15"/>
      <c r="O961" s="15"/>
      <c r="P961" s="15"/>
      <c r="Q961" s="11"/>
      <c r="R961" s="11"/>
      <c r="S961" s="11"/>
      <c r="T961" s="11"/>
      <c r="U961" s="15"/>
      <c r="V961" s="11"/>
      <c r="W961" s="11"/>
      <c r="X961" s="11"/>
      <c r="Y961" s="11"/>
      <c r="Z961" s="11"/>
    </row>
    <row r="962">
      <c r="A962" s="18"/>
      <c r="B962" s="11"/>
      <c r="C962" s="11"/>
      <c r="D962" s="11"/>
      <c r="E962" s="11"/>
      <c r="F962" s="11"/>
      <c r="G962" s="11"/>
      <c r="H962" s="11"/>
      <c r="I962" s="11"/>
      <c r="J962" s="11"/>
      <c r="K962" s="11"/>
      <c r="L962" s="15"/>
      <c r="M962" s="15"/>
      <c r="N962" s="15"/>
      <c r="O962" s="15"/>
      <c r="P962" s="15"/>
      <c r="Q962" s="11"/>
      <c r="R962" s="11"/>
      <c r="S962" s="11"/>
      <c r="T962" s="11"/>
      <c r="U962" s="15"/>
      <c r="V962" s="11"/>
      <c r="W962" s="11"/>
      <c r="X962" s="11"/>
      <c r="Y962" s="11"/>
      <c r="Z962" s="11"/>
    </row>
    <row r="963">
      <c r="A963" s="18"/>
      <c r="B963" s="11"/>
      <c r="C963" s="11"/>
      <c r="D963" s="11"/>
      <c r="E963" s="11"/>
      <c r="F963" s="11"/>
      <c r="G963" s="11"/>
      <c r="H963" s="11"/>
      <c r="I963" s="11"/>
      <c r="J963" s="11"/>
      <c r="K963" s="11"/>
      <c r="L963" s="15"/>
      <c r="M963" s="15"/>
      <c r="N963" s="15"/>
      <c r="O963" s="15"/>
      <c r="P963" s="15"/>
      <c r="Q963" s="11"/>
      <c r="R963" s="11"/>
      <c r="S963" s="11"/>
      <c r="T963" s="11"/>
      <c r="U963" s="15"/>
      <c r="V963" s="11"/>
      <c r="W963" s="11"/>
      <c r="X963" s="11"/>
      <c r="Y963" s="11"/>
      <c r="Z963" s="11"/>
    </row>
    <row r="964">
      <c r="A964" s="18"/>
      <c r="B964" s="11"/>
      <c r="C964" s="11"/>
      <c r="D964" s="11"/>
      <c r="E964" s="11"/>
      <c r="F964" s="11"/>
      <c r="G964" s="11"/>
      <c r="H964" s="11"/>
      <c r="I964" s="11"/>
      <c r="J964" s="11"/>
      <c r="K964" s="11"/>
      <c r="L964" s="15"/>
      <c r="M964" s="15"/>
      <c r="N964" s="15"/>
      <c r="O964" s="15"/>
      <c r="P964" s="15"/>
      <c r="Q964" s="11"/>
      <c r="R964" s="11"/>
      <c r="S964" s="11"/>
      <c r="T964" s="11"/>
      <c r="U964" s="15"/>
      <c r="V964" s="11"/>
      <c r="W964" s="11"/>
      <c r="X964" s="11"/>
      <c r="Y964" s="11"/>
      <c r="Z964" s="11"/>
    </row>
    <row r="965">
      <c r="A965" s="18"/>
      <c r="B965" s="11"/>
      <c r="C965" s="11"/>
      <c r="D965" s="11"/>
      <c r="E965" s="11"/>
      <c r="F965" s="11"/>
      <c r="G965" s="11"/>
      <c r="H965" s="11"/>
      <c r="I965" s="11"/>
      <c r="J965" s="11"/>
      <c r="K965" s="11"/>
      <c r="L965" s="15"/>
      <c r="M965" s="15"/>
      <c r="N965" s="15"/>
      <c r="O965" s="15"/>
      <c r="P965" s="15"/>
      <c r="Q965" s="11"/>
      <c r="R965" s="11"/>
      <c r="S965" s="11"/>
      <c r="T965" s="11"/>
      <c r="U965" s="15"/>
      <c r="V965" s="11"/>
      <c r="W965" s="11"/>
      <c r="X965" s="11"/>
      <c r="Y965" s="11"/>
      <c r="Z965" s="11"/>
    </row>
    <row r="966">
      <c r="A966" s="18"/>
      <c r="B966" s="11"/>
      <c r="C966" s="11"/>
      <c r="D966" s="11"/>
      <c r="E966" s="11"/>
      <c r="F966" s="11"/>
      <c r="G966" s="11"/>
      <c r="H966" s="11"/>
      <c r="I966" s="11"/>
      <c r="J966" s="11"/>
      <c r="K966" s="11"/>
      <c r="L966" s="15"/>
      <c r="M966" s="15"/>
      <c r="N966" s="15"/>
      <c r="O966" s="15"/>
      <c r="P966" s="15"/>
      <c r="Q966" s="11"/>
      <c r="R966" s="11"/>
      <c r="S966" s="11"/>
      <c r="T966" s="11"/>
      <c r="U966" s="15"/>
      <c r="V966" s="11"/>
      <c r="W966" s="11"/>
      <c r="X966" s="11"/>
      <c r="Y966" s="11"/>
      <c r="Z966" s="11"/>
    </row>
    <row r="967">
      <c r="A967" s="18"/>
      <c r="B967" s="11"/>
      <c r="C967" s="11"/>
      <c r="D967" s="11"/>
      <c r="E967" s="11"/>
      <c r="F967" s="11"/>
      <c r="G967" s="11"/>
      <c r="H967" s="11"/>
      <c r="I967" s="11"/>
      <c r="J967" s="11"/>
      <c r="K967" s="11"/>
      <c r="L967" s="15"/>
      <c r="M967" s="15"/>
      <c r="N967" s="15"/>
      <c r="O967" s="15"/>
      <c r="P967" s="15"/>
      <c r="Q967" s="11"/>
      <c r="R967" s="11"/>
      <c r="S967" s="11"/>
      <c r="T967" s="11"/>
      <c r="U967" s="15"/>
      <c r="V967" s="11"/>
      <c r="W967" s="11"/>
      <c r="X967" s="11"/>
      <c r="Y967" s="11"/>
      <c r="Z967" s="11"/>
    </row>
    <row r="968">
      <c r="A968" s="18"/>
      <c r="B968" s="11"/>
      <c r="C968" s="11"/>
      <c r="D968" s="11"/>
      <c r="E968" s="11"/>
      <c r="F968" s="11"/>
      <c r="G968" s="11"/>
      <c r="H968" s="11"/>
      <c r="I968" s="11"/>
      <c r="J968" s="11"/>
      <c r="K968" s="11"/>
      <c r="L968" s="15"/>
      <c r="M968" s="15"/>
      <c r="N968" s="15"/>
      <c r="O968" s="15"/>
      <c r="P968" s="15"/>
      <c r="Q968" s="11"/>
      <c r="R968" s="11"/>
      <c r="S968" s="11"/>
      <c r="T968" s="11"/>
      <c r="U968" s="15"/>
      <c r="V968" s="11"/>
      <c r="W968" s="11"/>
      <c r="X968" s="11"/>
      <c r="Y968" s="11"/>
      <c r="Z968" s="11"/>
    </row>
    <row r="969">
      <c r="A969" s="18"/>
      <c r="B969" s="11"/>
      <c r="C969" s="11"/>
      <c r="D969" s="11"/>
      <c r="E969" s="11"/>
      <c r="F969" s="11"/>
      <c r="G969" s="11"/>
      <c r="H969" s="11"/>
      <c r="I969" s="11"/>
      <c r="J969" s="11"/>
      <c r="K969" s="11"/>
      <c r="L969" s="15"/>
      <c r="M969" s="15"/>
      <c r="N969" s="15"/>
      <c r="O969" s="15"/>
      <c r="P969" s="15"/>
      <c r="Q969" s="11"/>
      <c r="R969" s="11"/>
      <c r="S969" s="11"/>
      <c r="T969" s="11"/>
      <c r="U969" s="15"/>
      <c r="V969" s="11"/>
      <c r="W969" s="11"/>
      <c r="X969" s="11"/>
      <c r="Y969" s="11"/>
      <c r="Z969" s="11"/>
    </row>
    <row r="970">
      <c r="A970" s="18"/>
      <c r="B970" s="11"/>
      <c r="C970" s="11"/>
      <c r="D970" s="11"/>
      <c r="E970" s="11"/>
      <c r="F970" s="11"/>
      <c r="G970" s="11"/>
      <c r="H970" s="11"/>
      <c r="I970" s="11"/>
      <c r="J970" s="11"/>
      <c r="K970" s="11"/>
      <c r="L970" s="15"/>
      <c r="M970" s="15"/>
      <c r="N970" s="15"/>
      <c r="O970" s="15"/>
      <c r="P970" s="15"/>
      <c r="Q970" s="11"/>
      <c r="R970" s="11"/>
      <c r="S970" s="11"/>
      <c r="T970" s="11"/>
      <c r="U970" s="15"/>
      <c r="V970" s="11"/>
      <c r="W970" s="11"/>
      <c r="X970" s="11"/>
      <c r="Y970" s="11"/>
      <c r="Z970" s="11"/>
    </row>
    <row r="971">
      <c r="A971" s="18"/>
      <c r="B971" s="11"/>
      <c r="C971" s="11"/>
      <c r="D971" s="11"/>
      <c r="E971" s="11"/>
      <c r="F971" s="11"/>
      <c r="G971" s="11"/>
      <c r="H971" s="11"/>
      <c r="I971" s="11"/>
      <c r="J971" s="11"/>
      <c r="K971" s="11"/>
      <c r="L971" s="15"/>
      <c r="M971" s="15"/>
      <c r="N971" s="15"/>
      <c r="O971" s="15"/>
      <c r="P971" s="15"/>
      <c r="Q971" s="11"/>
      <c r="R971" s="11"/>
      <c r="S971" s="11"/>
      <c r="T971" s="11"/>
      <c r="U971" s="15"/>
      <c r="V971" s="11"/>
      <c r="W971" s="11"/>
      <c r="X971" s="11"/>
      <c r="Y971" s="11"/>
      <c r="Z971" s="11"/>
    </row>
    <row r="972">
      <c r="A972" s="18"/>
      <c r="B972" s="11"/>
      <c r="C972" s="11"/>
      <c r="D972" s="11"/>
      <c r="E972" s="11"/>
      <c r="F972" s="11"/>
      <c r="G972" s="11"/>
      <c r="H972" s="11"/>
      <c r="I972" s="11"/>
      <c r="J972" s="11"/>
      <c r="K972" s="11"/>
      <c r="L972" s="15"/>
      <c r="M972" s="15"/>
      <c r="N972" s="15"/>
      <c r="O972" s="15"/>
      <c r="P972" s="15"/>
      <c r="Q972" s="11"/>
      <c r="R972" s="11"/>
      <c r="S972" s="11"/>
      <c r="T972" s="11"/>
      <c r="U972" s="15"/>
      <c r="V972" s="11"/>
      <c r="W972" s="11"/>
      <c r="X972" s="11"/>
      <c r="Y972" s="11"/>
      <c r="Z972" s="11"/>
    </row>
    <row r="973">
      <c r="A973" s="18"/>
      <c r="B973" s="11"/>
      <c r="C973" s="11"/>
      <c r="D973" s="11"/>
      <c r="E973" s="11"/>
      <c r="F973" s="11"/>
      <c r="G973" s="11"/>
      <c r="H973" s="11"/>
      <c r="I973" s="11"/>
      <c r="J973" s="11"/>
      <c r="K973" s="11"/>
      <c r="L973" s="15"/>
      <c r="M973" s="15"/>
      <c r="N973" s="15"/>
      <c r="O973" s="15"/>
      <c r="P973" s="15"/>
      <c r="Q973" s="11"/>
      <c r="R973" s="11"/>
      <c r="S973" s="11"/>
      <c r="T973" s="11"/>
      <c r="U973" s="15"/>
      <c r="V973" s="11"/>
      <c r="W973" s="11"/>
      <c r="X973" s="11"/>
      <c r="Y973" s="11"/>
      <c r="Z973" s="11"/>
    </row>
    <row r="974">
      <c r="A974" s="18"/>
      <c r="B974" s="11"/>
      <c r="C974" s="11"/>
      <c r="D974" s="11"/>
      <c r="E974" s="11"/>
      <c r="F974" s="11"/>
      <c r="G974" s="11"/>
      <c r="H974" s="11"/>
      <c r="I974" s="11"/>
      <c r="J974" s="11"/>
      <c r="K974" s="11"/>
      <c r="L974" s="15"/>
      <c r="M974" s="15"/>
      <c r="N974" s="15"/>
      <c r="O974" s="15"/>
      <c r="P974" s="15"/>
      <c r="Q974" s="11"/>
      <c r="R974" s="11"/>
      <c r="S974" s="11"/>
      <c r="T974" s="11"/>
      <c r="U974" s="15"/>
      <c r="V974" s="11"/>
      <c r="W974" s="11"/>
      <c r="X974" s="11"/>
      <c r="Y974" s="11"/>
      <c r="Z974" s="11"/>
    </row>
    <row r="975">
      <c r="A975" s="18"/>
      <c r="B975" s="11"/>
      <c r="C975" s="11"/>
      <c r="D975" s="11"/>
      <c r="E975" s="11"/>
      <c r="F975" s="11"/>
      <c r="G975" s="11"/>
      <c r="H975" s="11"/>
      <c r="I975" s="11"/>
      <c r="J975" s="11"/>
      <c r="K975" s="11"/>
      <c r="L975" s="15"/>
      <c r="M975" s="15"/>
      <c r="N975" s="15"/>
      <c r="O975" s="15"/>
      <c r="P975" s="15"/>
      <c r="Q975" s="11"/>
      <c r="R975" s="11"/>
      <c r="S975" s="11"/>
      <c r="T975" s="11"/>
      <c r="U975" s="15"/>
      <c r="V975" s="11"/>
      <c r="W975" s="11"/>
      <c r="X975" s="11"/>
      <c r="Y975" s="11"/>
      <c r="Z975" s="11"/>
    </row>
    <row r="976">
      <c r="A976" s="18"/>
      <c r="B976" s="11"/>
      <c r="C976" s="11"/>
      <c r="D976" s="11"/>
      <c r="E976" s="11"/>
      <c r="F976" s="11"/>
      <c r="G976" s="11"/>
      <c r="H976" s="11"/>
      <c r="I976" s="11"/>
      <c r="J976" s="11"/>
      <c r="K976" s="11"/>
      <c r="L976" s="15"/>
      <c r="M976" s="15"/>
      <c r="N976" s="15"/>
      <c r="O976" s="15"/>
      <c r="P976" s="15"/>
      <c r="Q976" s="11"/>
      <c r="R976" s="11"/>
      <c r="S976" s="11"/>
      <c r="T976" s="11"/>
      <c r="U976" s="15"/>
      <c r="V976" s="11"/>
      <c r="W976" s="11"/>
      <c r="X976" s="11"/>
      <c r="Y976" s="11"/>
      <c r="Z976" s="11"/>
    </row>
    <row r="977">
      <c r="A977" s="18"/>
      <c r="B977" s="11"/>
      <c r="C977" s="11"/>
      <c r="D977" s="11"/>
      <c r="E977" s="11"/>
      <c r="F977" s="11"/>
      <c r="G977" s="11"/>
      <c r="H977" s="11"/>
      <c r="I977" s="11"/>
      <c r="J977" s="11"/>
      <c r="K977" s="11"/>
      <c r="L977" s="15"/>
      <c r="M977" s="15"/>
      <c r="N977" s="15"/>
      <c r="O977" s="15"/>
      <c r="P977" s="15"/>
      <c r="Q977" s="11"/>
      <c r="R977" s="11"/>
      <c r="S977" s="11"/>
      <c r="T977" s="11"/>
      <c r="U977" s="15"/>
      <c r="V977" s="11"/>
      <c r="W977" s="11"/>
      <c r="X977" s="11"/>
      <c r="Y977" s="11"/>
      <c r="Z977" s="11"/>
    </row>
    <row r="978">
      <c r="A978" s="18"/>
      <c r="B978" s="11"/>
      <c r="C978" s="11"/>
      <c r="D978" s="11"/>
      <c r="E978" s="11"/>
      <c r="F978" s="11"/>
      <c r="G978" s="11"/>
      <c r="H978" s="11"/>
      <c r="I978" s="11"/>
      <c r="J978" s="11"/>
      <c r="K978" s="11"/>
      <c r="L978" s="15"/>
      <c r="M978" s="15"/>
      <c r="N978" s="15"/>
      <c r="O978" s="15"/>
      <c r="P978" s="15"/>
      <c r="Q978" s="11"/>
      <c r="R978" s="11"/>
      <c r="S978" s="11"/>
      <c r="T978" s="11"/>
      <c r="U978" s="15"/>
      <c r="V978" s="11"/>
      <c r="W978" s="11"/>
      <c r="X978" s="11"/>
      <c r="Y978" s="11"/>
      <c r="Z978" s="11"/>
    </row>
    <row r="979">
      <c r="A979" s="18"/>
      <c r="B979" s="11"/>
      <c r="C979" s="11"/>
      <c r="D979" s="11"/>
      <c r="E979" s="11"/>
      <c r="F979" s="11"/>
      <c r="G979" s="11"/>
      <c r="H979" s="11"/>
      <c r="I979" s="11"/>
      <c r="J979" s="11"/>
      <c r="K979" s="11"/>
      <c r="L979" s="15"/>
      <c r="M979" s="15"/>
      <c r="N979" s="15"/>
      <c r="O979" s="15"/>
      <c r="P979" s="15"/>
      <c r="Q979" s="11"/>
      <c r="R979" s="11"/>
      <c r="S979" s="11"/>
      <c r="T979" s="11"/>
      <c r="U979" s="15"/>
      <c r="V979" s="11"/>
      <c r="W979" s="11"/>
      <c r="X979" s="11"/>
      <c r="Y979" s="11"/>
      <c r="Z979" s="11"/>
    </row>
    <row r="980">
      <c r="A980" s="18"/>
      <c r="B980" s="11"/>
      <c r="C980" s="11"/>
      <c r="D980" s="11"/>
      <c r="E980" s="11"/>
      <c r="F980" s="11"/>
      <c r="G980" s="11"/>
      <c r="H980" s="11"/>
      <c r="I980" s="11"/>
      <c r="J980" s="11"/>
      <c r="K980" s="11"/>
      <c r="L980" s="15"/>
      <c r="M980" s="15"/>
      <c r="N980" s="15"/>
      <c r="O980" s="15"/>
      <c r="P980" s="15"/>
      <c r="Q980" s="11"/>
      <c r="R980" s="11"/>
      <c r="S980" s="11"/>
      <c r="T980" s="11"/>
      <c r="U980" s="15"/>
      <c r="V980" s="11"/>
      <c r="W980" s="11"/>
      <c r="X980" s="11"/>
      <c r="Y980" s="11"/>
      <c r="Z980" s="11"/>
    </row>
    <row r="981">
      <c r="A981" s="18"/>
      <c r="B981" s="11"/>
      <c r="C981" s="11"/>
      <c r="D981" s="11"/>
      <c r="E981" s="11"/>
      <c r="F981" s="11"/>
      <c r="G981" s="11"/>
      <c r="H981" s="11"/>
      <c r="I981" s="11"/>
      <c r="J981" s="11"/>
      <c r="K981" s="11"/>
      <c r="L981" s="15"/>
      <c r="M981" s="15"/>
      <c r="N981" s="15"/>
      <c r="O981" s="15"/>
      <c r="P981" s="15"/>
      <c r="Q981" s="11"/>
      <c r="R981" s="11"/>
      <c r="S981" s="11"/>
      <c r="T981" s="11"/>
      <c r="U981" s="15"/>
      <c r="V981" s="11"/>
      <c r="W981" s="11"/>
      <c r="X981" s="11"/>
      <c r="Y981" s="11"/>
      <c r="Z981" s="11"/>
    </row>
    <row r="982">
      <c r="A982" s="18"/>
      <c r="B982" s="11"/>
      <c r="C982" s="11"/>
      <c r="D982" s="11"/>
      <c r="E982" s="11"/>
      <c r="F982" s="11"/>
      <c r="G982" s="11"/>
      <c r="H982" s="11"/>
      <c r="I982" s="11"/>
      <c r="J982" s="11"/>
      <c r="K982" s="11"/>
      <c r="L982" s="15"/>
      <c r="M982" s="15"/>
      <c r="N982" s="15"/>
      <c r="O982" s="15"/>
      <c r="P982" s="15"/>
      <c r="Q982" s="11"/>
      <c r="R982" s="11"/>
      <c r="S982" s="11"/>
      <c r="T982" s="11"/>
      <c r="U982" s="15"/>
      <c r="V982" s="11"/>
      <c r="W982" s="11"/>
      <c r="X982" s="11"/>
      <c r="Y982" s="11"/>
      <c r="Z982" s="11"/>
    </row>
    <row r="983">
      <c r="A983" s="18"/>
      <c r="B983" s="11"/>
      <c r="C983" s="11"/>
      <c r="D983" s="11"/>
      <c r="E983" s="11"/>
      <c r="F983" s="11"/>
      <c r="G983" s="11"/>
      <c r="H983" s="11"/>
      <c r="I983" s="11"/>
      <c r="J983" s="11"/>
      <c r="K983" s="11"/>
      <c r="L983" s="15"/>
      <c r="M983" s="15"/>
      <c r="N983" s="15"/>
      <c r="O983" s="15"/>
      <c r="P983" s="15"/>
      <c r="Q983" s="11"/>
      <c r="R983" s="11"/>
      <c r="S983" s="11"/>
      <c r="T983" s="11"/>
      <c r="U983" s="15"/>
      <c r="V983" s="11"/>
      <c r="W983" s="11"/>
      <c r="X983" s="11"/>
      <c r="Y983" s="11"/>
      <c r="Z983" s="11"/>
    </row>
    <row r="984">
      <c r="A984" s="18"/>
      <c r="B984" s="11"/>
      <c r="C984" s="11"/>
      <c r="D984" s="11"/>
      <c r="E984" s="11"/>
      <c r="F984" s="11"/>
      <c r="G984" s="11"/>
      <c r="H984" s="11"/>
      <c r="I984" s="11"/>
      <c r="J984" s="11"/>
      <c r="K984" s="11"/>
      <c r="L984" s="15"/>
      <c r="M984" s="15"/>
      <c r="N984" s="15"/>
      <c r="O984" s="15"/>
      <c r="P984" s="15"/>
      <c r="Q984" s="11"/>
      <c r="R984" s="11"/>
      <c r="S984" s="11"/>
      <c r="T984" s="11"/>
      <c r="U984" s="15"/>
      <c r="V984" s="11"/>
      <c r="W984" s="11"/>
      <c r="X984" s="11"/>
      <c r="Y984" s="11"/>
      <c r="Z984" s="11"/>
    </row>
    <row r="985">
      <c r="A985" s="18"/>
      <c r="B985" s="11"/>
      <c r="C985" s="11"/>
      <c r="D985" s="11"/>
      <c r="E985" s="11"/>
      <c r="F985" s="11"/>
      <c r="G985" s="11"/>
      <c r="H985" s="11"/>
      <c r="I985" s="11"/>
      <c r="J985" s="11"/>
      <c r="K985" s="11"/>
      <c r="L985" s="15"/>
      <c r="M985" s="15"/>
      <c r="N985" s="15"/>
      <c r="O985" s="15"/>
      <c r="P985" s="15"/>
      <c r="Q985" s="11"/>
      <c r="R985" s="11"/>
      <c r="S985" s="11"/>
      <c r="T985" s="11"/>
      <c r="U985" s="15"/>
      <c r="V985" s="11"/>
      <c r="W985" s="11"/>
      <c r="X985" s="11"/>
      <c r="Y985" s="11"/>
      <c r="Z985" s="11"/>
    </row>
    <row r="986">
      <c r="A986" s="18"/>
      <c r="B986" s="11"/>
      <c r="C986" s="11"/>
      <c r="D986" s="11"/>
      <c r="E986" s="11"/>
      <c r="F986" s="11"/>
      <c r="G986" s="11"/>
      <c r="H986" s="11"/>
      <c r="I986" s="11"/>
      <c r="J986" s="11"/>
      <c r="K986" s="11"/>
      <c r="L986" s="15"/>
      <c r="M986" s="15"/>
      <c r="N986" s="15"/>
      <c r="O986" s="15"/>
      <c r="P986" s="15"/>
      <c r="Q986" s="11"/>
      <c r="R986" s="11"/>
      <c r="S986" s="11"/>
      <c r="T986" s="11"/>
      <c r="U986" s="15"/>
      <c r="V986" s="11"/>
      <c r="W986" s="11"/>
      <c r="X986" s="11"/>
      <c r="Y986" s="11"/>
      <c r="Z986" s="11"/>
    </row>
    <row r="987">
      <c r="A987" s="18"/>
      <c r="B987" s="11"/>
      <c r="C987" s="11"/>
      <c r="D987" s="11"/>
      <c r="E987" s="11"/>
      <c r="F987" s="11"/>
      <c r="G987" s="11"/>
      <c r="H987" s="11"/>
      <c r="I987" s="11"/>
      <c r="J987" s="11"/>
      <c r="K987" s="11"/>
      <c r="L987" s="15"/>
      <c r="M987" s="15"/>
      <c r="N987" s="15"/>
      <c r="O987" s="15"/>
      <c r="P987" s="15"/>
      <c r="Q987" s="11"/>
      <c r="R987" s="11"/>
      <c r="S987" s="11"/>
      <c r="T987" s="11"/>
      <c r="U987" s="15"/>
      <c r="V987" s="11"/>
      <c r="W987" s="11"/>
      <c r="X987" s="11"/>
      <c r="Y987" s="11"/>
      <c r="Z987" s="11"/>
    </row>
    <row r="988">
      <c r="A988" s="18"/>
      <c r="B988" s="11"/>
      <c r="C988" s="11"/>
      <c r="D988" s="11"/>
      <c r="E988" s="11"/>
      <c r="F988" s="11"/>
      <c r="G988" s="11"/>
      <c r="H988" s="11"/>
      <c r="I988" s="11"/>
      <c r="J988" s="11"/>
      <c r="K988" s="11"/>
      <c r="L988" s="15"/>
      <c r="M988" s="15"/>
      <c r="N988" s="15"/>
      <c r="O988" s="15"/>
      <c r="P988" s="15"/>
      <c r="Q988" s="11"/>
      <c r="R988" s="11"/>
      <c r="S988" s="11"/>
      <c r="T988" s="11"/>
      <c r="U988" s="15"/>
      <c r="V988" s="11"/>
      <c r="W988" s="11"/>
      <c r="X988" s="11"/>
      <c r="Y988" s="11"/>
      <c r="Z988" s="11"/>
    </row>
    <row r="989">
      <c r="A989" s="18"/>
      <c r="B989" s="11"/>
      <c r="C989" s="11"/>
      <c r="D989" s="11"/>
      <c r="E989" s="11"/>
      <c r="F989" s="11"/>
      <c r="G989" s="11"/>
      <c r="H989" s="11"/>
      <c r="I989" s="11"/>
      <c r="J989" s="11"/>
      <c r="K989" s="11"/>
      <c r="L989" s="15"/>
      <c r="M989" s="15"/>
      <c r="N989" s="15"/>
      <c r="O989" s="15"/>
      <c r="P989" s="15"/>
      <c r="Q989" s="11"/>
      <c r="R989" s="11"/>
      <c r="S989" s="11"/>
      <c r="T989" s="11"/>
      <c r="U989" s="15"/>
      <c r="V989" s="11"/>
      <c r="W989" s="11"/>
      <c r="X989" s="11"/>
      <c r="Y989" s="11"/>
      <c r="Z989" s="11"/>
    </row>
    <row r="990">
      <c r="A990" s="18"/>
      <c r="B990" s="11"/>
      <c r="C990" s="11"/>
      <c r="D990" s="11"/>
      <c r="E990" s="11"/>
      <c r="F990" s="11"/>
      <c r="G990" s="11"/>
      <c r="H990" s="11"/>
      <c r="I990" s="11"/>
      <c r="J990" s="11"/>
      <c r="K990" s="11"/>
      <c r="L990" s="15"/>
      <c r="M990" s="15"/>
      <c r="N990" s="15"/>
      <c r="O990" s="15"/>
      <c r="P990" s="15"/>
      <c r="Q990" s="11"/>
      <c r="R990" s="11"/>
      <c r="S990" s="11"/>
      <c r="T990" s="11"/>
      <c r="U990" s="15"/>
      <c r="V990" s="11"/>
      <c r="W990" s="11"/>
      <c r="X990" s="11"/>
      <c r="Y990" s="11"/>
      <c r="Z990" s="11"/>
    </row>
    <row r="991">
      <c r="A991" s="18"/>
      <c r="B991" s="11"/>
      <c r="C991" s="11"/>
      <c r="D991" s="11"/>
      <c r="E991" s="11"/>
      <c r="F991" s="11"/>
      <c r="G991" s="11"/>
      <c r="H991" s="11"/>
      <c r="I991" s="11"/>
      <c r="J991" s="11"/>
      <c r="K991" s="11"/>
      <c r="L991" s="15"/>
      <c r="M991" s="15"/>
      <c r="N991" s="15"/>
      <c r="O991" s="15"/>
      <c r="P991" s="15"/>
      <c r="Q991" s="11"/>
      <c r="R991" s="11"/>
      <c r="S991" s="11"/>
      <c r="T991" s="11"/>
      <c r="U991" s="15"/>
      <c r="V991" s="11"/>
      <c r="W991" s="11"/>
      <c r="X991" s="11"/>
      <c r="Y991" s="11"/>
      <c r="Z991" s="11"/>
    </row>
    <row r="992">
      <c r="A992" s="18"/>
      <c r="B992" s="11"/>
      <c r="C992" s="11"/>
      <c r="D992" s="11"/>
      <c r="E992" s="11"/>
      <c r="F992" s="11"/>
      <c r="G992" s="11"/>
      <c r="H992" s="11"/>
      <c r="I992" s="11"/>
      <c r="J992" s="11"/>
      <c r="K992" s="11"/>
      <c r="L992" s="15"/>
      <c r="M992" s="15"/>
      <c r="N992" s="15"/>
      <c r="O992" s="15"/>
      <c r="P992" s="15"/>
      <c r="Q992" s="11"/>
      <c r="R992" s="11"/>
      <c r="S992" s="11"/>
      <c r="T992" s="11"/>
      <c r="U992" s="15"/>
      <c r="V992" s="11"/>
      <c r="W992" s="11"/>
      <c r="X992" s="11"/>
      <c r="Y992" s="11"/>
      <c r="Z992" s="11"/>
    </row>
    <row r="993">
      <c r="A993" s="18"/>
      <c r="B993" s="11"/>
      <c r="C993" s="11"/>
      <c r="D993" s="11"/>
      <c r="E993" s="11"/>
      <c r="F993" s="11"/>
      <c r="G993" s="11"/>
      <c r="H993" s="11"/>
      <c r="I993" s="11"/>
      <c r="J993" s="11"/>
      <c r="K993" s="11"/>
      <c r="L993" s="15"/>
      <c r="M993" s="15"/>
      <c r="N993" s="15"/>
      <c r="O993" s="15"/>
      <c r="P993" s="15"/>
      <c r="Q993" s="11"/>
      <c r="R993" s="11"/>
      <c r="S993" s="11"/>
      <c r="T993" s="11"/>
      <c r="U993" s="15"/>
      <c r="V993" s="11"/>
      <c r="W993" s="11"/>
      <c r="X993" s="11"/>
      <c r="Y993" s="11"/>
      <c r="Z993" s="11"/>
    </row>
    <row r="994">
      <c r="A994" s="18"/>
      <c r="B994" s="11"/>
      <c r="C994" s="11"/>
      <c r="D994" s="11"/>
      <c r="E994" s="11"/>
      <c r="F994" s="11"/>
      <c r="G994" s="11"/>
      <c r="H994" s="11"/>
      <c r="I994" s="11"/>
      <c r="J994" s="11"/>
      <c r="K994" s="11"/>
      <c r="L994" s="15"/>
      <c r="M994" s="15"/>
      <c r="N994" s="15"/>
      <c r="O994" s="15"/>
      <c r="P994" s="15"/>
      <c r="Q994" s="11"/>
      <c r="R994" s="11"/>
      <c r="S994" s="11"/>
      <c r="T994" s="11"/>
      <c r="U994" s="15"/>
      <c r="V994" s="11"/>
      <c r="W994" s="11"/>
      <c r="X994" s="11"/>
      <c r="Y994" s="11"/>
      <c r="Z994" s="11"/>
    </row>
    <row r="995">
      <c r="A995" s="18"/>
      <c r="B995" s="11"/>
      <c r="C995" s="11"/>
      <c r="D995" s="11"/>
      <c r="E995" s="11"/>
      <c r="F995" s="11"/>
      <c r="G995" s="11"/>
      <c r="H995" s="11"/>
      <c r="I995" s="11"/>
      <c r="J995" s="11"/>
      <c r="K995" s="11"/>
      <c r="L995" s="15"/>
      <c r="M995" s="15"/>
      <c r="N995" s="15"/>
      <c r="O995" s="15"/>
      <c r="P995" s="15"/>
      <c r="Q995" s="11"/>
      <c r="R995" s="11"/>
      <c r="S995" s="11"/>
      <c r="T995" s="11"/>
      <c r="U995" s="15"/>
      <c r="V995" s="11"/>
      <c r="W995" s="11"/>
      <c r="X995" s="11"/>
      <c r="Y995" s="11"/>
      <c r="Z995" s="11"/>
    </row>
    <row r="996">
      <c r="A996" s="18"/>
      <c r="B996" s="11"/>
      <c r="C996" s="11"/>
      <c r="D996" s="11"/>
      <c r="E996" s="11"/>
      <c r="F996" s="11"/>
      <c r="G996" s="11"/>
      <c r="H996" s="11"/>
      <c r="I996" s="11"/>
      <c r="J996" s="11"/>
      <c r="K996" s="11"/>
      <c r="L996" s="15"/>
      <c r="M996" s="15"/>
      <c r="N996" s="15"/>
      <c r="O996" s="15"/>
      <c r="P996" s="15"/>
      <c r="Q996" s="11"/>
      <c r="R996" s="11"/>
      <c r="S996" s="11"/>
      <c r="T996" s="11"/>
      <c r="U996" s="15"/>
      <c r="V996" s="11"/>
      <c r="W996" s="11"/>
      <c r="X996" s="11"/>
      <c r="Y996" s="11"/>
      <c r="Z996" s="11"/>
    </row>
    <row r="997">
      <c r="A997" s="18"/>
      <c r="B997" s="11"/>
      <c r="C997" s="11"/>
      <c r="D997" s="11"/>
      <c r="E997" s="11"/>
      <c r="F997" s="11"/>
      <c r="G997" s="11"/>
      <c r="H997" s="11"/>
      <c r="I997" s="11"/>
      <c r="J997" s="11"/>
      <c r="K997" s="11"/>
      <c r="L997" s="15"/>
      <c r="M997" s="15"/>
      <c r="N997" s="15"/>
      <c r="O997" s="15"/>
      <c r="P997" s="15"/>
      <c r="Q997" s="11"/>
      <c r="R997" s="11"/>
      <c r="S997" s="11"/>
      <c r="T997" s="11"/>
      <c r="U997" s="15"/>
      <c r="V997" s="11"/>
      <c r="W997" s="11"/>
      <c r="X997" s="11"/>
      <c r="Y997" s="11"/>
      <c r="Z997" s="11"/>
    </row>
    <row r="998">
      <c r="A998" s="18"/>
      <c r="B998" s="11"/>
      <c r="C998" s="11"/>
      <c r="D998" s="11"/>
      <c r="E998" s="11"/>
      <c r="F998" s="11"/>
      <c r="G998" s="11"/>
      <c r="H998" s="11"/>
      <c r="I998" s="11"/>
      <c r="J998" s="11"/>
      <c r="K998" s="11"/>
      <c r="L998" s="15"/>
      <c r="M998" s="15"/>
      <c r="N998" s="15"/>
      <c r="O998" s="15"/>
      <c r="P998" s="15"/>
      <c r="Q998" s="11"/>
      <c r="R998" s="11"/>
      <c r="S998" s="11"/>
      <c r="T998" s="11"/>
      <c r="U998" s="15"/>
      <c r="V998" s="11"/>
      <c r="W998" s="11"/>
      <c r="X998" s="11"/>
      <c r="Y998" s="11"/>
      <c r="Z998" s="11"/>
    </row>
    <row r="999">
      <c r="A999" s="18"/>
      <c r="B999" s="11"/>
      <c r="C999" s="11"/>
      <c r="D999" s="11"/>
      <c r="E999" s="11"/>
      <c r="F999" s="11"/>
      <c r="G999" s="11"/>
      <c r="H999" s="11"/>
      <c r="I999" s="11"/>
      <c r="J999" s="11"/>
      <c r="K999" s="11"/>
      <c r="L999" s="15"/>
      <c r="M999" s="15"/>
      <c r="N999" s="15"/>
      <c r="O999" s="15"/>
      <c r="P999" s="15"/>
      <c r="Q999" s="11"/>
      <c r="R999" s="11"/>
      <c r="S999" s="11"/>
      <c r="T999" s="11"/>
      <c r="U999" s="15"/>
      <c r="V999" s="11"/>
      <c r="W999" s="11"/>
      <c r="X999" s="11"/>
      <c r="Y999" s="11"/>
      <c r="Z999" s="11"/>
    </row>
    <row r="1000">
      <c r="A1000" s="18"/>
      <c r="B1000" s="11"/>
      <c r="C1000" s="11"/>
      <c r="D1000" s="11"/>
      <c r="E1000" s="11"/>
      <c r="F1000" s="11"/>
      <c r="G1000" s="11"/>
      <c r="H1000" s="11"/>
      <c r="I1000" s="11"/>
      <c r="J1000" s="11"/>
      <c r="K1000" s="11"/>
      <c r="L1000" s="15"/>
      <c r="M1000" s="15"/>
      <c r="N1000" s="15"/>
      <c r="O1000" s="15"/>
      <c r="P1000" s="15"/>
      <c r="Q1000" s="11"/>
      <c r="R1000" s="11"/>
      <c r="S1000" s="11"/>
      <c r="T1000" s="11"/>
      <c r="U1000" s="15"/>
      <c r="V1000" s="11"/>
      <c r="W1000" s="11"/>
      <c r="X1000" s="11"/>
      <c r="Y1000" s="11"/>
      <c r="Z1000" s="11"/>
    </row>
    <row r="1001">
      <c r="A1001" s="18"/>
      <c r="B1001" s="11"/>
      <c r="C1001" s="11"/>
      <c r="D1001" s="11"/>
      <c r="E1001" s="11"/>
      <c r="F1001" s="11"/>
      <c r="G1001" s="11"/>
      <c r="H1001" s="11"/>
      <c r="I1001" s="11"/>
      <c r="J1001" s="11"/>
      <c r="K1001" s="11"/>
      <c r="L1001" s="15"/>
      <c r="M1001" s="15"/>
      <c r="N1001" s="15"/>
      <c r="O1001" s="15"/>
      <c r="P1001" s="15"/>
      <c r="Q1001" s="11"/>
      <c r="R1001" s="11"/>
      <c r="S1001" s="11"/>
      <c r="T1001" s="11"/>
      <c r="U1001" s="15"/>
      <c r="V1001" s="11"/>
      <c r="W1001" s="11"/>
      <c r="X1001" s="11"/>
      <c r="Y1001" s="11"/>
      <c r="Z1001" s="11"/>
    </row>
    <row r="1002">
      <c r="A1002" s="18"/>
      <c r="B1002" s="11"/>
      <c r="C1002" s="11"/>
      <c r="D1002" s="11"/>
      <c r="E1002" s="11"/>
      <c r="F1002" s="11"/>
      <c r="G1002" s="11"/>
      <c r="H1002" s="11"/>
      <c r="I1002" s="11"/>
      <c r="J1002" s="11"/>
      <c r="K1002" s="11"/>
      <c r="L1002" s="15"/>
      <c r="M1002" s="15"/>
      <c r="N1002" s="15"/>
      <c r="O1002" s="15"/>
      <c r="P1002" s="15"/>
      <c r="Q1002" s="11"/>
      <c r="R1002" s="11"/>
      <c r="S1002" s="11"/>
      <c r="T1002" s="11"/>
      <c r="U1002" s="15"/>
      <c r="V1002" s="11"/>
      <c r="W1002" s="11"/>
      <c r="X1002" s="11"/>
      <c r="Y1002" s="11"/>
      <c r="Z1002" s="11"/>
    </row>
    <row r="1003">
      <c r="A1003" s="18"/>
      <c r="B1003" s="11"/>
      <c r="C1003" s="11"/>
      <c r="D1003" s="11"/>
      <c r="E1003" s="11"/>
      <c r="F1003" s="11"/>
      <c r="G1003" s="11"/>
      <c r="H1003" s="11"/>
      <c r="I1003" s="11"/>
      <c r="J1003" s="11"/>
      <c r="K1003" s="11"/>
      <c r="L1003" s="15"/>
      <c r="M1003" s="15"/>
      <c r="N1003" s="15"/>
      <c r="O1003" s="15"/>
      <c r="P1003" s="15"/>
      <c r="Q1003" s="11"/>
      <c r="R1003" s="11"/>
      <c r="S1003" s="11"/>
      <c r="T1003" s="11"/>
      <c r="U1003" s="15"/>
      <c r="V1003" s="11"/>
      <c r="W1003" s="11"/>
      <c r="X1003" s="11"/>
      <c r="Y1003" s="11"/>
      <c r="Z1003" s="11"/>
    </row>
    <row r="1004">
      <c r="A1004" s="18"/>
      <c r="B1004" s="11"/>
      <c r="C1004" s="11"/>
      <c r="D1004" s="11"/>
      <c r="E1004" s="11"/>
      <c r="F1004" s="11"/>
      <c r="G1004" s="11"/>
      <c r="H1004" s="11"/>
      <c r="I1004" s="11"/>
      <c r="J1004" s="11"/>
      <c r="K1004" s="11"/>
      <c r="L1004" s="15"/>
      <c r="M1004" s="15"/>
      <c r="N1004" s="15"/>
      <c r="O1004" s="15"/>
      <c r="P1004" s="15"/>
      <c r="Q1004" s="11"/>
      <c r="R1004" s="11"/>
      <c r="S1004" s="11"/>
      <c r="T1004" s="11"/>
      <c r="U1004" s="15"/>
      <c r="V1004" s="11"/>
      <c r="W1004" s="11"/>
      <c r="X1004" s="11"/>
      <c r="Y1004" s="11"/>
      <c r="Z1004" s="11"/>
    </row>
    <row r="1005">
      <c r="A1005" s="18"/>
      <c r="B1005" s="11"/>
      <c r="C1005" s="11"/>
      <c r="D1005" s="11"/>
      <c r="E1005" s="11"/>
      <c r="F1005" s="11"/>
      <c r="G1005" s="11"/>
      <c r="H1005" s="11"/>
      <c r="I1005" s="11"/>
      <c r="J1005" s="11"/>
      <c r="K1005" s="11"/>
      <c r="L1005" s="15"/>
      <c r="M1005" s="15"/>
      <c r="N1005" s="15"/>
      <c r="O1005" s="15"/>
      <c r="P1005" s="15"/>
      <c r="Q1005" s="11"/>
      <c r="R1005" s="11"/>
      <c r="S1005" s="11"/>
      <c r="T1005" s="11"/>
      <c r="U1005" s="15"/>
      <c r="V1005" s="11"/>
      <c r="W1005" s="11"/>
      <c r="X1005" s="11"/>
      <c r="Y1005" s="11"/>
      <c r="Z1005" s="11"/>
    </row>
    <row r="1006">
      <c r="A1006" s="18"/>
      <c r="B1006" s="11"/>
      <c r="C1006" s="11"/>
      <c r="D1006" s="11"/>
      <c r="E1006" s="11"/>
      <c r="F1006" s="11"/>
      <c r="G1006" s="11"/>
      <c r="H1006" s="11"/>
      <c r="I1006" s="11"/>
      <c r="J1006" s="11"/>
      <c r="K1006" s="11"/>
      <c r="L1006" s="15"/>
      <c r="M1006" s="15"/>
      <c r="N1006" s="15"/>
      <c r="O1006" s="15"/>
      <c r="P1006" s="15"/>
      <c r="Q1006" s="11"/>
      <c r="R1006" s="11"/>
      <c r="S1006" s="11"/>
      <c r="T1006" s="11"/>
      <c r="U1006" s="15"/>
      <c r="V1006" s="11"/>
      <c r="W1006" s="11"/>
      <c r="X1006" s="11"/>
      <c r="Y1006" s="11"/>
      <c r="Z1006" s="11"/>
    </row>
    <row r="1007">
      <c r="A1007" s="18"/>
      <c r="B1007" s="11"/>
      <c r="C1007" s="11"/>
      <c r="D1007" s="11"/>
      <c r="E1007" s="11"/>
      <c r="F1007" s="11"/>
      <c r="G1007" s="11"/>
      <c r="H1007" s="11"/>
      <c r="I1007" s="11"/>
      <c r="J1007" s="11"/>
      <c r="K1007" s="11"/>
      <c r="L1007" s="15"/>
      <c r="M1007" s="15"/>
      <c r="N1007" s="15"/>
      <c r="O1007" s="15"/>
      <c r="P1007" s="15"/>
      <c r="Q1007" s="11"/>
      <c r="R1007" s="11"/>
      <c r="S1007" s="11"/>
      <c r="T1007" s="11"/>
      <c r="U1007" s="15"/>
      <c r="V1007" s="11"/>
      <c r="W1007" s="11"/>
      <c r="X1007" s="11"/>
      <c r="Y1007" s="11"/>
      <c r="Z1007" s="11"/>
    </row>
    <row r="1008">
      <c r="A1008" s="18"/>
      <c r="B1008" s="11"/>
      <c r="C1008" s="11"/>
      <c r="D1008" s="11"/>
      <c r="E1008" s="11"/>
      <c r="F1008" s="11"/>
      <c r="G1008" s="11"/>
      <c r="H1008" s="11"/>
      <c r="I1008" s="11"/>
      <c r="J1008" s="11"/>
      <c r="K1008" s="11"/>
      <c r="L1008" s="15"/>
      <c r="M1008" s="15"/>
      <c r="N1008" s="15"/>
      <c r="O1008" s="15"/>
      <c r="P1008" s="15"/>
      <c r="Q1008" s="11"/>
      <c r="R1008" s="11"/>
      <c r="S1008" s="11"/>
      <c r="T1008" s="11"/>
      <c r="U1008" s="15"/>
      <c r="V1008" s="11"/>
      <c r="W1008" s="11"/>
      <c r="X1008" s="11"/>
      <c r="Y1008" s="11"/>
      <c r="Z1008" s="11"/>
    </row>
    <row r="1009">
      <c r="A1009" s="18"/>
      <c r="B1009" s="11"/>
      <c r="C1009" s="11"/>
      <c r="D1009" s="11"/>
      <c r="E1009" s="11"/>
      <c r="F1009" s="11"/>
      <c r="G1009" s="11"/>
      <c r="H1009" s="11"/>
      <c r="I1009" s="11"/>
      <c r="J1009" s="11"/>
      <c r="K1009" s="11"/>
      <c r="L1009" s="15"/>
      <c r="M1009" s="15"/>
      <c r="N1009" s="15"/>
      <c r="O1009" s="15"/>
      <c r="P1009" s="15"/>
      <c r="Q1009" s="11"/>
      <c r="R1009" s="11"/>
      <c r="S1009" s="11"/>
      <c r="T1009" s="11"/>
      <c r="U1009" s="15"/>
      <c r="V1009" s="11"/>
      <c r="W1009" s="11"/>
      <c r="X1009" s="11"/>
      <c r="Y1009" s="11"/>
      <c r="Z1009" s="11"/>
    </row>
    <row r="1010">
      <c r="A1010" s="18"/>
      <c r="B1010" s="11"/>
      <c r="C1010" s="11"/>
      <c r="D1010" s="11"/>
      <c r="E1010" s="11"/>
      <c r="F1010" s="11"/>
      <c r="G1010" s="11"/>
      <c r="H1010" s="11"/>
      <c r="I1010" s="11"/>
      <c r="J1010" s="11"/>
      <c r="K1010" s="11"/>
      <c r="L1010" s="15"/>
      <c r="M1010" s="15"/>
      <c r="N1010" s="15"/>
      <c r="O1010" s="15"/>
      <c r="P1010" s="15"/>
      <c r="Q1010" s="11"/>
      <c r="R1010" s="11"/>
      <c r="S1010" s="11"/>
      <c r="T1010" s="11"/>
      <c r="U1010" s="15"/>
      <c r="V1010" s="11"/>
      <c r="W1010" s="11"/>
      <c r="X1010" s="11"/>
      <c r="Y1010" s="11"/>
      <c r="Z1010" s="11"/>
    </row>
    <row r="1011">
      <c r="A1011" s="18"/>
      <c r="B1011" s="11"/>
      <c r="C1011" s="11"/>
      <c r="D1011" s="11"/>
      <c r="E1011" s="11"/>
      <c r="F1011" s="11"/>
      <c r="G1011" s="11"/>
      <c r="H1011" s="11"/>
      <c r="I1011" s="11"/>
      <c r="J1011" s="11"/>
      <c r="K1011" s="11"/>
      <c r="L1011" s="15"/>
      <c r="M1011" s="15"/>
      <c r="N1011" s="15"/>
      <c r="O1011" s="15"/>
      <c r="P1011" s="15"/>
      <c r="Q1011" s="11"/>
      <c r="R1011" s="11"/>
      <c r="S1011" s="11"/>
      <c r="T1011" s="11"/>
      <c r="U1011" s="15"/>
      <c r="V1011" s="11"/>
      <c r="W1011" s="11"/>
      <c r="X1011" s="11"/>
      <c r="Y1011" s="11"/>
      <c r="Z1011" s="11"/>
    </row>
    <row r="1012">
      <c r="A1012" s="18"/>
      <c r="B1012" s="11"/>
      <c r="C1012" s="11"/>
      <c r="D1012" s="11"/>
      <c r="E1012" s="11"/>
      <c r="F1012" s="11"/>
      <c r="G1012" s="11"/>
      <c r="H1012" s="11"/>
      <c r="I1012" s="11"/>
      <c r="J1012" s="11"/>
      <c r="K1012" s="11"/>
      <c r="L1012" s="15"/>
      <c r="M1012" s="15"/>
      <c r="N1012" s="15"/>
      <c r="O1012" s="15"/>
      <c r="P1012" s="15"/>
      <c r="Q1012" s="11"/>
      <c r="R1012" s="11"/>
      <c r="S1012" s="11"/>
      <c r="T1012" s="11"/>
      <c r="U1012" s="15"/>
      <c r="V1012" s="11"/>
      <c r="W1012" s="11"/>
      <c r="X1012" s="11"/>
      <c r="Y1012" s="11"/>
      <c r="Z1012" s="11"/>
    </row>
    <row r="1013">
      <c r="A1013" s="18"/>
      <c r="B1013" s="11"/>
      <c r="C1013" s="11"/>
      <c r="D1013" s="11"/>
      <c r="E1013" s="11"/>
      <c r="F1013" s="11"/>
      <c r="G1013" s="11"/>
      <c r="H1013" s="11"/>
      <c r="I1013" s="11"/>
      <c r="J1013" s="11"/>
      <c r="K1013" s="11"/>
      <c r="L1013" s="15"/>
      <c r="M1013" s="15"/>
      <c r="N1013" s="15"/>
      <c r="O1013" s="15"/>
      <c r="P1013" s="15"/>
      <c r="Q1013" s="11"/>
      <c r="R1013" s="11"/>
      <c r="S1013" s="11"/>
      <c r="T1013" s="11"/>
      <c r="U1013" s="15"/>
      <c r="V1013" s="11"/>
      <c r="W1013" s="11"/>
      <c r="X1013" s="11"/>
      <c r="Y1013" s="11"/>
      <c r="Z1013" s="11"/>
    </row>
    <row r="1014">
      <c r="A1014" s="18"/>
      <c r="B1014" s="11"/>
      <c r="C1014" s="11"/>
      <c r="D1014" s="11"/>
      <c r="E1014" s="11"/>
      <c r="F1014" s="11"/>
      <c r="G1014" s="11"/>
      <c r="H1014" s="11"/>
      <c r="I1014" s="11"/>
      <c r="J1014" s="11"/>
      <c r="K1014" s="11"/>
      <c r="L1014" s="15"/>
      <c r="M1014" s="15"/>
      <c r="N1014" s="15"/>
      <c r="O1014" s="15"/>
      <c r="P1014" s="15"/>
      <c r="Q1014" s="11"/>
      <c r="R1014" s="11"/>
      <c r="S1014" s="11"/>
      <c r="T1014" s="11"/>
      <c r="U1014" s="15"/>
      <c r="V1014" s="11"/>
      <c r="W1014" s="11"/>
      <c r="X1014" s="11"/>
      <c r="Y1014" s="11"/>
      <c r="Z1014" s="11"/>
    </row>
    <row r="1015">
      <c r="A1015" s="18"/>
      <c r="B1015" s="11"/>
      <c r="C1015" s="11"/>
      <c r="D1015" s="11"/>
      <c r="E1015" s="11"/>
      <c r="F1015" s="11"/>
      <c r="G1015" s="11"/>
      <c r="H1015" s="11"/>
      <c r="I1015" s="11"/>
      <c r="J1015" s="11"/>
      <c r="K1015" s="11"/>
      <c r="L1015" s="15"/>
      <c r="M1015" s="15"/>
      <c r="N1015" s="15"/>
      <c r="O1015" s="15"/>
      <c r="P1015" s="15"/>
      <c r="Q1015" s="11"/>
      <c r="R1015" s="11"/>
      <c r="S1015" s="11"/>
      <c r="T1015" s="11"/>
      <c r="U1015" s="15"/>
      <c r="V1015" s="11"/>
      <c r="W1015" s="11"/>
      <c r="X1015" s="11"/>
      <c r="Y1015" s="11"/>
      <c r="Z1015" s="11"/>
    </row>
    <row r="1016">
      <c r="A1016" s="18"/>
      <c r="B1016" s="11"/>
      <c r="C1016" s="11"/>
      <c r="D1016" s="11"/>
      <c r="E1016" s="11"/>
      <c r="F1016" s="11"/>
      <c r="G1016" s="11"/>
      <c r="H1016" s="11"/>
      <c r="I1016" s="11"/>
      <c r="J1016" s="11"/>
      <c r="K1016" s="11"/>
      <c r="L1016" s="15"/>
      <c r="M1016" s="15"/>
      <c r="N1016" s="15"/>
      <c r="O1016" s="15"/>
      <c r="P1016" s="15"/>
      <c r="Q1016" s="11"/>
      <c r="R1016" s="11"/>
      <c r="S1016" s="11"/>
      <c r="T1016" s="11"/>
      <c r="U1016" s="15"/>
      <c r="V1016" s="11"/>
      <c r="W1016" s="11"/>
      <c r="X1016" s="11"/>
      <c r="Y1016" s="11"/>
      <c r="Z1016" s="11"/>
    </row>
    <row r="1017">
      <c r="A1017" s="18"/>
      <c r="B1017" s="11"/>
      <c r="C1017" s="11"/>
      <c r="D1017" s="11"/>
      <c r="E1017" s="11"/>
      <c r="F1017" s="11"/>
      <c r="G1017" s="11"/>
      <c r="H1017" s="11"/>
      <c r="I1017" s="11"/>
      <c r="J1017" s="11"/>
      <c r="K1017" s="11"/>
      <c r="L1017" s="15"/>
      <c r="M1017" s="15"/>
      <c r="N1017" s="15"/>
      <c r="O1017" s="15"/>
      <c r="P1017" s="15"/>
      <c r="Q1017" s="11"/>
      <c r="R1017" s="11"/>
      <c r="S1017" s="11"/>
      <c r="T1017" s="11"/>
      <c r="U1017" s="15"/>
      <c r="V1017" s="11"/>
      <c r="W1017" s="11"/>
      <c r="X1017" s="11"/>
      <c r="Y1017" s="11"/>
      <c r="Z1017" s="11"/>
    </row>
    <row r="1018">
      <c r="A1018" s="18"/>
      <c r="B1018" s="11"/>
      <c r="C1018" s="11"/>
      <c r="D1018" s="11"/>
      <c r="E1018" s="11"/>
      <c r="F1018" s="11"/>
      <c r="G1018" s="11"/>
      <c r="H1018" s="11"/>
      <c r="I1018" s="11"/>
      <c r="J1018" s="11"/>
      <c r="K1018" s="11"/>
      <c r="L1018" s="15"/>
      <c r="M1018" s="15"/>
      <c r="N1018" s="15"/>
      <c r="O1018" s="15"/>
      <c r="P1018" s="15"/>
      <c r="Q1018" s="11"/>
      <c r="R1018" s="11"/>
      <c r="S1018" s="11"/>
      <c r="T1018" s="11"/>
      <c r="U1018" s="15"/>
      <c r="V1018" s="11"/>
      <c r="W1018" s="11"/>
      <c r="X1018" s="11"/>
      <c r="Y1018" s="11"/>
      <c r="Z1018" s="11"/>
    </row>
    <row r="1019">
      <c r="A1019" s="18"/>
      <c r="B1019" s="11"/>
      <c r="C1019" s="11"/>
      <c r="D1019" s="11"/>
      <c r="E1019" s="11"/>
      <c r="F1019" s="11"/>
      <c r="G1019" s="11"/>
      <c r="H1019" s="11"/>
      <c r="I1019" s="11"/>
      <c r="J1019" s="11"/>
      <c r="K1019" s="11"/>
      <c r="L1019" s="15"/>
      <c r="M1019" s="15"/>
      <c r="N1019" s="15"/>
      <c r="O1019" s="15"/>
      <c r="P1019" s="15"/>
      <c r="Q1019" s="11"/>
      <c r="R1019" s="11"/>
      <c r="S1019" s="11"/>
      <c r="T1019" s="11"/>
      <c r="U1019" s="15"/>
      <c r="V1019" s="11"/>
      <c r="W1019" s="11"/>
      <c r="X1019" s="11"/>
      <c r="Y1019" s="11"/>
      <c r="Z1019" s="11"/>
    </row>
    <row r="1020">
      <c r="A1020" s="18"/>
      <c r="B1020" s="11"/>
      <c r="C1020" s="11"/>
      <c r="D1020" s="11"/>
      <c r="E1020" s="11"/>
      <c r="F1020" s="11"/>
      <c r="G1020" s="11"/>
      <c r="H1020" s="11"/>
      <c r="I1020" s="11"/>
      <c r="J1020" s="11"/>
      <c r="K1020" s="11"/>
      <c r="L1020" s="15"/>
      <c r="M1020" s="15"/>
      <c r="N1020" s="15"/>
      <c r="O1020" s="15"/>
      <c r="P1020" s="15"/>
      <c r="Q1020" s="11"/>
      <c r="R1020" s="11"/>
      <c r="S1020" s="11"/>
      <c r="T1020" s="11"/>
      <c r="U1020" s="15"/>
      <c r="V1020" s="11"/>
      <c r="W1020" s="11"/>
      <c r="X1020" s="11"/>
      <c r="Y1020" s="11"/>
      <c r="Z1020" s="11"/>
    </row>
    <row r="1021">
      <c r="A1021" s="18"/>
      <c r="B1021" s="11"/>
      <c r="C1021" s="11"/>
      <c r="D1021" s="11"/>
      <c r="E1021" s="11"/>
      <c r="F1021" s="11"/>
      <c r="G1021" s="11"/>
      <c r="H1021" s="11"/>
      <c r="I1021" s="11"/>
      <c r="J1021" s="11"/>
      <c r="K1021" s="11"/>
      <c r="L1021" s="15"/>
      <c r="M1021" s="15"/>
      <c r="N1021" s="15"/>
      <c r="O1021" s="15"/>
      <c r="P1021" s="15"/>
      <c r="Q1021" s="11"/>
      <c r="R1021" s="11"/>
      <c r="S1021" s="11"/>
      <c r="T1021" s="11"/>
      <c r="U1021" s="15"/>
      <c r="V1021" s="11"/>
      <c r="W1021" s="11"/>
      <c r="X1021" s="11"/>
      <c r="Y1021" s="11"/>
      <c r="Z1021" s="11"/>
    </row>
    <row r="1022">
      <c r="A1022" s="18"/>
      <c r="B1022" s="11"/>
      <c r="C1022" s="11"/>
      <c r="D1022" s="11"/>
      <c r="E1022" s="11"/>
      <c r="F1022" s="11"/>
      <c r="G1022" s="11"/>
      <c r="H1022" s="11"/>
      <c r="I1022" s="11"/>
      <c r="J1022" s="11"/>
      <c r="K1022" s="11"/>
      <c r="L1022" s="15"/>
      <c r="M1022" s="15"/>
      <c r="N1022" s="15"/>
      <c r="O1022" s="15"/>
      <c r="P1022" s="15"/>
      <c r="Q1022" s="11"/>
      <c r="R1022" s="11"/>
      <c r="S1022" s="11"/>
      <c r="T1022" s="11"/>
      <c r="U1022" s="15"/>
      <c r="V1022" s="11"/>
      <c r="W1022" s="11"/>
      <c r="X1022" s="11"/>
      <c r="Y1022" s="11"/>
      <c r="Z1022" s="11"/>
    </row>
    <row r="1023">
      <c r="A1023" s="18"/>
      <c r="B1023" s="11"/>
      <c r="C1023" s="11"/>
      <c r="D1023" s="11"/>
      <c r="E1023" s="11"/>
      <c r="F1023" s="11"/>
      <c r="G1023" s="11"/>
      <c r="H1023" s="11"/>
      <c r="I1023" s="11"/>
      <c r="J1023" s="11"/>
      <c r="K1023" s="11"/>
      <c r="L1023" s="15"/>
      <c r="M1023" s="15"/>
      <c r="N1023" s="15"/>
      <c r="O1023" s="15"/>
      <c r="P1023" s="15"/>
      <c r="Q1023" s="11"/>
      <c r="R1023" s="11"/>
      <c r="S1023" s="11"/>
      <c r="T1023" s="11"/>
      <c r="U1023" s="15"/>
      <c r="V1023" s="11"/>
      <c r="W1023" s="11"/>
      <c r="X1023" s="11"/>
      <c r="Y1023" s="11"/>
      <c r="Z1023" s="11"/>
    </row>
    <row r="1024">
      <c r="A1024" s="18"/>
      <c r="B1024" s="11"/>
      <c r="C1024" s="11"/>
      <c r="D1024" s="11"/>
      <c r="E1024" s="11"/>
      <c r="F1024" s="11"/>
      <c r="G1024" s="11"/>
      <c r="H1024" s="11"/>
      <c r="I1024" s="11"/>
      <c r="J1024" s="11"/>
      <c r="K1024" s="11"/>
      <c r="L1024" s="15"/>
      <c r="M1024" s="15"/>
      <c r="N1024" s="15"/>
      <c r="O1024" s="15"/>
      <c r="P1024" s="15"/>
      <c r="Q1024" s="11"/>
      <c r="R1024" s="11"/>
      <c r="S1024" s="11"/>
      <c r="T1024" s="11"/>
      <c r="U1024" s="15"/>
      <c r="V1024" s="11"/>
      <c r="W1024" s="11"/>
      <c r="X1024" s="11"/>
      <c r="Y1024" s="11"/>
      <c r="Z1024" s="11"/>
    </row>
    <row r="1025">
      <c r="A1025" s="18"/>
      <c r="B1025" s="11"/>
      <c r="C1025" s="11"/>
      <c r="D1025" s="11"/>
      <c r="E1025" s="11"/>
      <c r="F1025" s="11"/>
      <c r="G1025" s="11"/>
      <c r="H1025" s="11"/>
      <c r="I1025" s="11"/>
      <c r="J1025" s="11"/>
      <c r="K1025" s="11"/>
      <c r="L1025" s="15"/>
      <c r="M1025" s="15"/>
      <c r="N1025" s="15"/>
      <c r="O1025" s="15"/>
      <c r="P1025" s="15"/>
      <c r="Q1025" s="11"/>
      <c r="R1025" s="11"/>
      <c r="S1025" s="11"/>
      <c r="T1025" s="11"/>
      <c r="U1025" s="15"/>
      <c r="V1025" s="11"/>
      <c r="W1025" s="11"/>
      <c r="X1025" s="11"/>
      <c r="Y1025" s="11"/>
      <c r="Z1025" s="11"/>
    </row>
    <row r="1026">
      <c r="A1026" s="18"/>
      <c r="B1026" s="11"/>
      <c r="C1026" s="11"/>
      <c r="D1026" s="11"/>
      <c r="E1026" s="11"/>
      <c r="F1026" s="11"/>
      <c r="G1026" s="11"/>
      <c r="H1026" s="11"/>
      <c r="I1026" s="11"/>
      <c r="J1026" s="11"/>
      <c r="K1026" s="11"/>
      <c r="L1026" s="15"/>
      <c r="M1026" s="15"/>
      <c r="N1026" s="15"/>
      <c r="O1026" s="15"/>
      <c r="P1026" s="15"/>
      <c r="Q1026" s="11"/>
      <c r="R1026" s="11"/>
      <c r="S1026" s="11"/>
      <c r="T1026" s="11"/>
      <c r="U1026" s="15"/>
      <c r="V1026" s="11"/>
      <c r="W1026" s="11"/>
      <c r="X1026" s="11"/>
      <c r="Y1026" s="11"/>
      <c r="Z1026" s="11"/>
    </row>
    <row r="1027">
      <c r="A1027" s="18"/>
      <c r="B1027" s="11"/>
      <c r="C1027" s="11"/>
      <c r="D1027" s="11"/>
      <c r="E1027" s="11"/>
      <c r="F1027" s="11"/>
      <c r="G1027" s="11"/>
      <c r="H1027" s="11"/>
      <c r="I1027" s="11"/>
      <c r="J1027" s="11"/>
      <c r="K1027" s="11"/>
      <c r="L1027" s="15"/>
      <c r="M1027" s="15"/>
      <c r="N1027" s="15"/>
      <c r="O1027" s="15"/>
      <c r="P1027" s="15"/>
      <c r="Q1027" s="11"/>
      <c r="R1027" s="11"/>
      <c r="S1027" s="11"/>
      <c r="T1027" s="11"/>
      <c r="U1027" s="15"/>
      <c r="V1027" s="11"/>
      <c r="W1027" s="11"/>
      <c r="X1027" s="11"/>
      <c r="Y1027" s="11"/>
      <c r="Z1027" s="11"/>
    </row>
    <row r="1028">
      <c r="A1028" s="18"/>
      <c r="B1028" s="11"/>
      <c r="C1028" s="11"/>
      <c r="D1028" s="11"/>
      <c r="E1028" s="11"/>
      <c r="F1028" s="11"/>
      <c r="G1028" s="11"/>
      <c r="H1028" s="11"/>
      <c r="I1028" s="11"/>
      <c r="J1028" s="11"/>
      <c r="K1028" s="11"/>
      <c r="L1028" s="15"/>
      <c r="M1028" s="15"/>
      <c r="N1028" s="15"/>
      <c r="O1028" s="15"/>
      <c r="P1028" s="15"/>
      <c r="Q1028" s="11"/>
      <c r="R1028" s="11"/>
      <c r="S1028" s="11"/>
      <c r="T1028" s="11"/>
      <c r="U1028" s="15"/>
      <c r="V1028" s="11"/>
      <c r="W1028" s="11"/>
      <c r="X1028" s="11"/>
      <c r="Y1028" s="11"/>
      <c r="Z1028" s="11"/>
    </row>
    <row r="1029">
      <c r="A1029" s="18"/>
      <c r="B1029" s="11"/>
      <c r="C1029" s="11"/>
      <c r="D1029" s="11"/>
      <c r="E1029" s="11"/>
      <c r="F1029" s="11"/>
      <c r="G1029" s="11"/>
      <c r="H1029" s="11"/>
      <c r="I1029" s="11"/>
      <c r="J1029" s="11"/>
      <c r="K1029" s="11"/>
      <c r="L1029" s="15"/>
      <c r="M1029" s="15"/>
      <c r="N1029" s="15"/>
      <c r="O1029" s="15"/>
      <c r="P1029" s="15"/>
      <c r="Q1029" s="11"/>
      <c r="R1029" s="11"/>
      <c r="S1029" s="11"/>
      <c r="T1029" s="11"/>
      <c r="U1029" s="15"/>
      <c r="V1029" s="11"/>
      <c r="W1029" s="11"/>
      <c r="X1029" s="11"/>
      <c r="Y1029" s="11"/>
      <c r="Z1029" s="11"/>
    </row>
    <row r="1030">
      <c r="A1030" s="18"/>
      <c r="B1030" s="11"/>
      <c r="C1030" s="11"/>
      <c r="D1030" s="11"/>
      <c r="E1030" s="11"/>
      <c r="F1030" s="11"/>
      <c r="G1030" s="11"/>
      <c r="H1030" s="11"/>
      <c r="I1030" s="11"/>
      <c r="J1030" s="11"/>
      <c r="K1030" s="11"/>
      <c r="L1030" s="15"/>
      <c r="M1030" s="15"/>
      <c r="N1030" s="15"/>
      <c r="O1030" s="15"/>
      <c r="P1030" s="15"/>
      <c r="Q1030" s="11"/>
      <c r="R1030" s="11"/>
      <c r="S1030" s="11"/>
      <c r="T1030" s="11"/>
      <c r="U1030" s="15"/>
      <c r="V1030" s="11"/>
      <c r="W1030" s="11"/>
      <c r="X1030" s="11"/>
      <c r="Y1030" s="11"/>
      <c r="Z1030" s="11"/>
    </row>
    <row r="1031">
      <c r="A1031" s="18"/>
      <c r="B1031" s="11"/>
      <c r="C1031" s="11"/>
      <c r="D1031" s="11"/>
      <c r="E1031" s="11"/>
      <c r="F1031" s="11"/>
      <c r="G1031" s="11"/>
      <c r="H1031" s="11"/>
      <c r="I1031" s="11"/>
      <c r="J1031" s="11"/>
      <c r="K1031" s="11"/>
      <c r="L1031" s="15"/>
      <c r="M1031" s="15"/>
      <c r="N1031" s="15"/>
      <c r="O1031" s="15"/>
      <c r="P1031" s="15"/>
      <c r="Q1031" s="11"/>
      <c r="R1031" s="11"/>
      <c r="S1031" s="11"/>
      <c r="T1031" s="11"/>
      <c r="U1031" s="15"/>
      <c r="V1031" s="11"/>
      <c r="W1031" s="11"/>
      <c r="X1031" s="11"/>
      <c r="Y1031" s="11"/>
      <c r="Z1031" s="11"/>
    </row>
    <row r="1032">
      <c r="A1032" s="18"/>
      <c r="B1032" s="11"/>
      <c r="C1032" s="11"/>
      <c r="D1032" s="11"/>
      <c r="E1032" s="11"/>
      <c r="F1032" s="11"/>
      <c r="G1032" s="11"/>
      <c r="H1032" s="11"/>
      <c r="I1032" s="11"/>
      <c r="J1032" s="11"/>
      <c r="K1032" s="11"/>
      <c r="L1032" s="15"/>
      <c r="M1032" s="15"/>
      <c r="N1032" s="15"/>
      <c r="O1032" s="15"/>
      <c r="P1032" s="15"/>
      <c r="Q1032" s="11"/>
      <c r="R1032" s="11"/>
      <c r="S1032" s="11"/>
      <c r="T1032" s="11"/>
      <c r="U1032" s="15"/>
      <c r="V1032" s="11"/>
      <c r="W1032" s="11"/>
      <c r="X1032" s="11"/>
      <c r="Y1032" s="11"/>
      <c r="Z1032" s="11"/>
    </row>
    <row r="1033">
      <c r="A1033" s="18"/>
      <c r="B1033" s="11"/>
      <c r="C1033" s="11"/>
      <c r="D1033" s="11"/>
      <c r="E1033" s="11"/>
      <c r="F1033" s="11"/>
      <c r="G1033" s="11"/>
      <c r="H1033" s="11"/>
      <c r="I1033" s="11"/>
      <c r="J1033" s="11"/>
      <c r="K1033" s="11"/>
      <c r="L1033" s="15"/>
      <c r="M1033" s="15"/>
      <c r="N1033" s="15"/>
      <c r="O1033" s="15"/>
      <c r="P1033" s="15"/>
      <c r="Q1033" s="11"/>
      <c r="R1033" s="11"/>
      <c r="S1033" s="11"/>
      <c r="T1033" s="11"/>
      <c r="U1033" s="15"/>
      <c r="V1033" s="11"/>
      <c r="W1033" s="11"/>
      <c r="X1033" s="11"/>
      <c r="Y1033" s="11"/>
      <c r="Z1033" s="11"/>
    </row>
    <row r="1034">
      <c r="A1034" s="18"/>
      <c r="B1034" s="11"/>
      <c r="C1034" s="11"/>
      <c r="D1034" s="11"/>
      <c r="E1034" s="11"/>
      <c r="F1034" s="11"/>
      <c r="G1034" s="11"/>
      <c r="H1034" s="11"/>
      <c r="I1034" s="11"/>
      <c r="J1034" s="11"/>
      <c r="K1034" s="11"/>
      <c r="L1034" s="15"/>
      <c r="M1034" s="15"/>
      <c r="N1034" s="15"/>
      <c r="O1034" s="15"/>
      <c r="P1034" s="15"/>
      <c r="Q1034" s="11"/>
      <c r="R1034" s="11"/>
      <c r="S1034" s="11"/>
      <c r="T1034" s="11"/>
      <c r="U1034" s="15"/>
      <c r="V1034" s="11"/>
      <c r="W1034" s="11"/>
      <c r="X1034" s="11"/>
      <c r="Y1034" s="11"/>
      <c r="Z1034" s="11"/>
    </row>
    <row r="1035">
      <c r="A1035" s="18"/>
      <c r="B1035" s="11"/>
      <c r="C1035" s="11"/>
      <c r="D1035" s="11"/>
      <c r="E1035" s="11"/>
      <c r="F1035" s="11"/>
      <c r="G1035" s="11"/>
      <c r="H1035" s="11"/>
      <c r="I1035" s="11"/>
      <c r="J1035" s="11"/>
      <c r="K1035" s="11"/>
      <c r="L1035" s="15"/>
      <c r="M1035" s="15"/>
      <c r="N1035" s="15"/>
      <c r="O1035" s="15"/>
      <c r="P1035" s="15"/>
      <c r="Q1035" s="11"/>
      <c r="R1035" s="11"/>
      <c r="S1035" s="11"/>
      <c r="T1035" s="11"/>
      <c r="U1035" s="15"/>
      <c r="V1035" s="11"/>
      <c r="W1035" s="11"/>
      <c r="X1035" s="11"/>
      <c r="Y1035" s="11"/>
      <c r="Z1035" s="11"/>
    </row>
    <row r="1036">
      <c r="A1036" s="18"/>
      <c r="B1036" s="11"/>
      <c r="C1036" s="11"/>
      <c r="D1036" s="11"/>
      <c r="E1036" s="11"/>
      <c r="F1036" s="11"/>
      <c r="G1036" s="11"/>
      <c r="H1036" s="11"/>
      <c r="I1036" s="11"/>
      <c r="J1036" s="11"/>
      <c r="K1036" s="11"/>
      <c r="L1036" s="15"/>
      <c r="M1036" s="15"/>
      <c r="N1036" s="15"/>
      <c r="O1036" s="15"/>
      <c r="P1036" s="15"/>
      <c r="Q1036" s="11"/>
      <c r="R1036" s="11"/>
      <c r="S1036" s="11"/>
      <c r="T1036" s="11"/>
      <c r="U1036" s="15"/>
      <c r="V1036" s="11"/>
      <c r="W1036" s="11"/>
      <c r="X1036" s="11"/>
      <c r="Y1036" s="11"/>
      <c r="Z1036" s="11"/>
    </row>
    <row r="1037">
      <c r="A1037" s="18"/>
      <c r="B1037" s="11"/>
      <c r="C1037" s="11"/>
      <c r="D1037" s="11"/>
      <c r="E1037" s="11"/>
      <c r="F1037" s="11"/>
      <c r="G1037" s="11"/>
      <c r="H1037" s="11"/>
      <c r="I1037" s="11"/>
      <c r="J1037" s="11"/>
      <c r="K1037" s="11"/>
      <c r="L1037" s="15"/>
      <c r="M1037" s="15"/>
      <c r="N1037" s="15"/>
      <c r="O1037" s="15"/>
      <c r="P1037" s="15"/>
      <c r="Q1037" s="11"/>
      <c r="R1037" s="11"/>
      <c r="S1037" s="11"/>
      <c r="T1037" s="11"/>
      <c r="U1037" s="15"/>
      <c r="V1037" s="11"/>
      <c r="W1037" s="11"/>
      <c r="X1037" s="11"/>
      <c r="Y1037" s="11"/>
      <c r="Z1037" s="11"/>
    </row>
    <row r="1038">
      <c r="A1038" s="18"/>
      <c r="B1038" s="11"/>
      <c r="C1038" s="11"/>
      <c r="D1038" s="11"/>
      <c r="E1038" s="11"/>
      <c r="F1038" s="11"/>
      <c r="G1038" s="11"/>
      <c r="H1038" s="11"/>
      <c r="I1038" s="11"/>
      <c r="J1038" s="11"/>
      <c r="K1038" s="11"/>
      <c r="L1038" s="15"/>
      <c r="M1038" s="15"/>
      <c r="N1038" s="15"/>
      <c r="O1038" s="15"/>
      <c r="P1038" s="15"/>
      <c r="Q1038" s="11"/>
      <c r="R1038" s="11"/>
      <c r="S1038" s="11"/>
      <c r="T1038" s="11"/>
      <c r="U1038" s="15"/>
      <c r="V1038" s="11"/>
      <c r="W1038" s="11"/>
      <c r="X1038" s="11"/>
      <c r="Y1038" s="11"/>
      <c r="Z1038" s="11"/>
    </row>
  </sheetData>
  <hyperlinks>
    <hyperlink r:id="rId1" ref="F3"/>
    <hyperlink r:id="rId2" ref="G3"/>
    <hyperlink r:id="rId3" ref="F4"/>
    <hyperlink r:id="rId4" ref="F5"/>
    <hyperlink r:id="rId5" ref="G5"/>
    <hyperlink r:id="rId6" ref="F6"/>
    <hyperlink r:id="rId7" ref="S7"/>
    <hyperlink r:id="rId8" ref="F9"/>
    <hyperlink r:id="rId9" ref="F10"/>
    <hyperlink r:id="rId10" ref="G10"/>
    <hyperlink r:id="rId11" ref="G11"/>
    <hyperlink r:id="rId12" ref="F13"/>
    <hyperlink r:id="rId13" ref="S13"/>
    <hyperlink r:id="rId14" ref="F14"/>
    <hyperlink r:id="rId15" ref="G15"/>
    <hyperlink r:id="rId16" ref="S17"/>
    <hyperlink r:id="rId17" ref="S18"/>
    <hyperlink r:id="rId18" ref="F20"/>
    <hyperlink r:id="rId19" ref="G20"/>
    <hyperlink r:id="rId20" ref="S20"/>
    <hyperlink r:id="rId21" ref="F21"/>
    <hyperlink r:id="rId22" ref="S21"/>
    <hyperlink r:id="rId23" ref="F22"/>
    <hyperlink r:id="rId24" ref="S27"/>
    <hyperlink r:id="rId25" ref="S29"/>
    <hyperlink r:id="rId26" ref="F30"/>
    <hyperlink r:id="rId27" ref="G31"/>
    <hyperlink r:id="rId28" ref="F32"/>
    <hyperlink r:id="rId29" ref="G32"/>
    <hyperlink r:id="rId30" ref="F33"/>
    <hyperlink r:id="rId31" ref="F36"/>
    <hyperlink r:id="rId32" ref="G36"/>
    <hyperlink r:id="rId33" ref="S36"/>
  </hyperlinks>
  <drawing r:id="rId34"/>
  <tableParts count="1">
    <tablePart r:id="rId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 width="15.86"/>
    <col customWidth="1" min="3" max="3" width="21.57"/>
    <col customWidth="1" min="4" max="4" width="43.0"/>
    <col customWidth="1" min="5" max="5" width="18.71"/>
    <col customWidth="1" min="6" max="6" width="21.57"/>
  </cols>
  <sheetData>
    <row r="1" ht="24.0" customHeight="1">
      <c r="A1" s="1"/>
      <c r="B1" s="2" t="s">
        <v>956</v>
      </c>
      <c r="C1" s="3"/>
      <c r="D1" s="3"/>
      <c r="E1" s="3"/>
      <c r="F1" s="3"/>
      <c r="G1" s="3"/>
      <c r="H1" s="3"/>
      <c r="I1" s="3"/>
      <c r="J1" s="3"/>
      <c r="K1" s="3"/>
      <c r="L1" s="4"/>
      <c r="M1" s="4"/>
      <c r="N1" s="4"/>
      <c r="O1" s="4"/>
      <c r="P1" s="4"/>
      <c r="Q1" s="3"/>
      <c r="R1" s="3"/>
      <c r="S1" s="3"/>
      <c r="T1" s="3"/>
      <c r="U1" s="4"/>
      <c r="V1" s="3"/>
      <c r="W1" s="3"/>
      <c r="X1" s="3"/>
      <c r="Y1" s="3"/>
      <c r="Z1" s="3"/>
    </row>
    <row r="2" ht="24.0" customHeight="1">
      <c r="A2" s="5" t="s">
        <v>1</v>
      </c>
      <c r="B2" s="6" t="s">
        <v>2</v>
      </c>
      <c r="C2" s="6" t="s">
        <v>3</v>
      </c>
      <c r="D2" s="6" t="s">
        <v>4</v>
      </c>
      <c r="E2" s="6" t="s">
        <v>5</v>
      </c>
      <c r="F2" s="6" t="s">
        <v>6</v>
      </c>
      <c r="G2" s="6" t="s">
        <v>7</v>
      </c>
      <c r="H2" s="6" t="s">
        <v>8</v>
      </c>
      <c r="I2" s="6" t="s">
        <v>9</v>
      </c>
      <c r="J2" s="6" t="s">
        <v>10</v>
      </c>
      <c r="K2" s="6" t="s">
        <v>11</v>
      </c>
      <c r="L2" s="5" t="s">
        <v>12</v>
      </c>
      <c r="M2" s="5" t="s">
        <v>13</v>
      </c>
      <c r="N2" s="5" t="s">
        <v>14</v>
      </c>
      <c r="O2" s="5" t="s">
        <v>15</v>
      </c>
      <c r="P2" s="5" t="s">
        <v>16</v>
      </c>
      <c r="Q2" s="6" t="s">
        <v>8</v>
      </c>
      <c r="R2" s="6" t="s">
        <v>17</v>
      </c>
      <c r="S2" s="6" t="s">
        <v>18</v>
      </c>
      <c r="T2" s="6" t="s">
        <v>19</v>
      </c>
      <c r="U2" s="5" t="s">
        <v>20</v>
      </c>
      <c r="V2" s="7"/>
      <c r="W2" s="7"/>
      <c r="X2" s="7"/>
      <c r="Y2" s="7"/>
      <c r="Z2" s="7"/>
    </row>
    <row r="3">
      <c r="A3" s="8">
        <v>44222.555243055554</v>
      </c>
      <c r="B3" s="9" t="str">
        <f>HYPERLINK("https://twitter.com/Killer_Rmhope","@Killer_Rmhope")</f>
        <v>@Killer_Rmhope</v>
      </c>
      <c r="C3" s="10" t="s">
        <v>387</v>
      </c>
      <c r="D3" s="10" t="s">
        <v>388</v>
      </c>
      <c r="E3" s="9" t="str">
        <f>HYPERLINK("https://twitter.com/Killer_Rmhope/status/1354177179861577730","1354177179861577730")</f>
        <v>1354177179861577730</v>
      </c>
      <c r="F3" s="11"/>
      <c r="G3" s="11"/>
      <c r="H3" s="11"/>
      <c r="I3" s="13">
        <v>0.0</v>
      </c>
      <c r="J3" s="13">
        <v>0.0</v>
      </c>
      <c r="K3" s="9" t="str">
        <f t="shared" ref="K3:K6" si="1">HYPERLINK("http://twitter.com/download/android","Twitter for Android")</f>
        <v>Twitter for Android</v>
      </c>
      <c r="L3" s="14">
        <v>3.0</v>
      </c>
      <c r="M3" s="14">
        <v>9.0</v>
      </c>
      <c r="N3" s="14">
        <v>0.0</v>
      </c>
      <c r="O3" s="15"/>
      <c r="P3" s="16">
        <v>44172.659895833334</v>
      </c>
      <c r="Q3" s="11"/>
      <c r="R3" s="11"/>
      <c r="S3" s="11"/>
      <c r="T3" s="11"/>
      <c r="U3" s="17" t="str">
        <f>HYPERLINK("https://pbs.twimg.com/profile_images/1354175736958083072/nLpO5ABt.jpg","View")</f>
        <v>View</v>
      </c>
      <c r="V3" s="11"/>
      <c r="W3" s="11"/>
      <c r="X3" s="11"/>
      <c r="Y3" s="11"/>
      <c r="Z3" s="11"/>
    </row>
    <row r="4">
      <c r="A4" s="8">
        <v>44222.55447916666</v>
      </c>
      <c r="B4" s="9" t="str">
        <f>HYPERLINK("https://twitter.com/javier_sanr","@javier_sanr")</f>
        <v>@javier_sanr</v>
      </c>
      <c r="C4" s="10" t="s">
        <v>957</v>
      </c>
      <c r="D4" s="10" t="s">
        <v>958</v>
      </c>
      <c r="E4" s="9" t="str">
        <f>HYPERLINK("https://twitter.com/javier_sanr/status/1354176900760010755","1354176900760010755")</f>
        <v>1354176900760010755</v>
      </c>
      <c r="F4" s="11"/>
      <c r="G4" s="11"/>
      <c r="H4" s="11"/>
      <c r="I4" s="13">
        <v>0.0</v>
      </c>
      <c r="J4" s="13">
        <v>0.0</v>
      </c>
      <c r="K4" s="9" t="str">
        <f t="shared" si="1"/>
        <v>Twitter for Android</v>
      </c>
      <c r="L4" s="14">
        <v>85.0</v>
      </c>
      <c r="M4" s="14">
        <v>484.0</v>
      </c>
      <c r="N4" s="14">
        <v>0.0</v>
      </c>
      <c r="O4" s="15"/>
      <c r="P4" s="16">
        <v>42764.64010416667</v>
      </c>
      <c r="Q4" s="10" t="s">
        <v>959</v>
      </c>
      <c r="R4" s="10" t="s">
        <v>960</v>
      </c>
      <c r="S4" s="11"/>
      <c r="T4" s="11"/>
      <c r="U4" s="17" t="str">
        <f>HYPERLINK("https://pbs.twimg.com/profile_images/1291693930619318272/TVDqzPsd.jpg","View")</f>
        <v>View</v>
      </c>
      <c r="V4" s="11"/>
      <c r="W4" s="11"/>
      <c r="X4" s="11"/>
      <c r="Y4" s="11"/>
      <c r="Z4" s="11"/>
    </row>
    <row r="5">
      <c r="A5" s="8">
        <v>44222.54752314815</v>
      </c>
      <c r="B5" s="9" t="str">
        <f>HYPERLINK("https://twitter.com/BannedVult","@BannedVult")</f>
        <v>@BannedVult</v>
      </c>
      <c r="C5" s="10" t="s">
        <v>961</v>
      </c>
      <c r="D5" s="10" t="s">
        <v>962</v>
      </c>
      <c r="E5" s="9" t="str">
        <f>HYPERLINK("https://twitter.com/BannedVult/status/1354174382810296321","1354174382810296321")</f>
        <v>1354174382810296321</v>
      </c>
      <c r="F5" s="12" t="s">
        <v>963</v>
      </c>
      <c r="G5" s="12" t="s">
        <v>964</v>
      </c>
      <c r="H5" s="11"/>
      <c r="I5" s="13">
        <v>0.0</v>
      </c>
      <c r="J5" s="13">
        <v>1.0</v>
      </c>
      <c r="K5" s="9" t="str">
        <f t="shared" si="1"/>
        <v>Twitter for Android</v>
      </c>
      <c r="L5" s="14">
        <v>227.0</v>
      </c>
      <c r="M5" s="14">
        <v>363.0</v>
      </c>
      <c r="N5" s="14">
        <v>1.0</v>
      </c>
      <c r="O5" s="15"/>
      <c r="P5" s="16">
        <v>43930.47903935185</v>
      </c>
      <c r="Q5" s="11"/>
      <c r="R5" s="10" t="s">
        <v>965</v>
      </c>
      <c r="S5" s="11"/>
      <c r="T5" s="11"/>
      <c r="U5" s="17" t="str">
        <f>HYPERLINK("https://pbs.twimg.com/profile_images/1347866061413216256/-zQWLzK_.jpg","View")</f>
        <v>View</v>
      </c>
      <c r="V5" s="11"/>
      <c r="W5" s="11"/>
      <c r="X5" s="11"/>
      <c r="Y5" s="11"/>
      <c r="Z5" s="11"/>
    </row>
    <row r="6">
      <c r="A6" s="8">
        <v>44222.5452662037</v>
      </c>
      <c r="B6" s="9" t="str">
        <f>HYPERLINK("https://twitter.com/keiifernandez16","@keiifernandez16")</f>
        <v>@keiifernandez16</v>
      </c>
      <c r="C6" s="10" t="s">
        <v>966</v>
      </c>
      <c r="D6" s="10" t="s">
        <v>967</v>
      </c>
      <c r="E6" s="9" t="str">
        <f>HYPERLINK("https://twitter.com/keiifernandez16/status/1354173563692060679","1354173563692060679")</f>
        <v>1354173563692060679</v>
      </c>
      <c r="F6" s="10" t="s">
        <v>968</v>
      </c>
      <c r="G6" s="11"/>
      <c r="H6" s="11"/>
      <c r="I6" s="13">
        <v>0.0</v>
      </c>
      <c r="J6" s="13">
        <v>0.0</v>
      </c>
      <c r="K6" s="9" t="str">
        <f t="shared" si="1"/>
        <v>Twitter for Android</v>
      </c>
      <c r="L6" s="14">
        <v>158.0</v>
      </c>
      <c r="M6" s="14">
        <v>184.0</v>
      </c>
      <c r="N6" s="14">
        <v>0.0</v>
      </c>
      <c r="O6" s="15"/>
      <c r="P6" s="16">
        <v>43375.72173611111</v>
      </c>
      <c r="Q6" s="11"/>
      <c r="R6" s="11"/>
      <c r="S6" s="11"/>
      <c r="T6" s="11"/>
      <c r="U6" s="17" t="str">
        <f>HYPERLINK("https://pbs.twimg.com/profile_images/1274902429415411712/L_-EsGpv.jpg","View")</f>
        <v>View</v>
      </c>
      <c r="V6" s="11"/>
      <c r="W6" s="11"/>
      <c r="X6" s="11"/>
      <c r="Y6" s="11"/>
      <c r="Z6" s="11"/>
    </row>
    <row r="7">
      <c r="A7" s="8">
        <v>44222.534155092595</v>
      </c>
      <c r="B7" s="9" t="str">
        <f>HYPERLINK("https://twitter.com/PedroPabloMartn","@PedroPabloMartn")</f>
        <v>@PedroPabloMartn</v>
      </c>
      <c r="C7" s="10" t="s">
        <v>969</v>
      </c>
      <c r="D7" s="10" t="s">
        <v>970</v>
      </c>
      <c r="E7" s="9" t="str">
        <f>HYPERLINK("https://twitter.com/PedroPabloMartn/status/1354169538208821251","1354169538208821251")</f>
        <v>1354169538208821251</v>
      </c>
      <c r="F7" s="12" t="s">
        <v>971</v>
      </c>
      <c r="G7" s="11"/>
      <c r="H7" s="11"/>
      <c r="I7" s="13">
        <v>0.0</v>
      </c>
      <c r="J7" s="13">
        <v>3.0</v>
      </c>
      <c r="K7" s="9" t="str">
        <f>HYPERLINK("http://twitter.com/download/iphone","Twitter for iPhone")</f>
        <v>Twitter for iPhone</v>
      </c>
      <c r="L7" s="14">
        <v>1167.0</v>
      </c>
      <c r="M7" s="14">
        <v>498.0</v>
      </c>
      <c r="N7" s="14">
        <v>16.0</v>
      </c>
      <c r="O7" s="15"/>
      <c r="P7" s="16">
        <v>40966.34081018518</v>
      </c>
      <c r="Q7" s="10" t="s">
        <v>972</v>
      </c>
      <c r="R7" s="10" t="s">
        <v>973</v>
      </c>
      <c r="S7" s="11"/>
      <c r="T7" s="11"/>
      <c r="U7" s="17" t="str">
        <f>HYPERLINK("https://pbs.twimg.com/profile_images/1264135325317771265/yViS0X2I.jpg","View")</f>
        <v>View</v>
      </c>
      <c r="V7" s="11"/>
      <c r="W7" s="11"/>
      <c r="X7" s="11"/>
      <c r="Y7" s="11"/>
      <c r="Z7" s="11"/>
    </row>
    <row r="8">
      <c r="A8" s="8">
        <v>44222.53076388889</v>
      </c>
      <c r="B8" s="9" t="str">
        <f>HYPERLINK("https://twitter.com/hos0121","@hos0121")</f>
        <v>@hos0121</v>
      </c>
      <c r="C8" s="10" t="s">
        <v>389</v>
      </c>
      <c r="D8" s="10" t="s">
        <v>390</v>
      </c>
      <c r="E8" s="9" t="str">
        <f>HYPERLINK("https://twitter.com/hos0121/status/1354168309143523328","1354168309143523328")</f>
        <v>1354168309143523328</v>
      </c>
      <c r="F8" s="12" t="s">
        <v>391</v>
      </c>
      <c r="G8" s="12" t="s">
        <v>392</v>
      </c>
      <c r="H8" s="11"/>
      <c r="I8" s="13">
        <v>0.0</v>
      </c>
      <c r="J8" s="13">
        <v>1.0</v>
      </c>
      <c r="K8" s="9" t="str">
        <f>HYPERLINK("https://mobile.twitter.com","Twitter Web App")</f>
        <v>Twitter Web App</v>
      </c>
      <c r="L8" s="14">
        <v>50.0</v>
      </c>
      <c r="M8" s="14">
        <v>154.0</v>
      </c>
      <c r="N8" s="14">
        <v>0.0</v>
      </c>
      <c r="O8" s="15"/>
      <c r="P8" s="16">
        <v>43929.4328125</v>
      </c>
      <c r="Q8" s="10" t="s">
        <v>393</v>
      </c>
      <c r="R8" s="10" t="s">
        <v>394</v>
      </c>
      <c r="S8" s="11"/>
      <c r="T8" s="11"/>
      <c r="U8" s="17" t="str">
        <f>HYPERLINK("https://pbs.twimg.com/profile_images/1354140991033397250/5lYgJp3S.png","View")</f>
        <v>View</v>
      </c>
      <c r="V8" s="11"/>
      <c r="W8" s="11"/>
      <c r="X8" s="11"/>
      <c r="Y8" s="11"/>
      <c r="Z8" s="11"/>
    </row>
    <row r="9">
      <c r="A9" s="8">
        <v>44222.52900462963</v>
      </c>
      <c r="B9" s="9" t="str">
        <f>HYPERLINK("https://twitter.com/r0llerC0aster__","@r0llerC0aster__")</f>
        <v>@r0llerC0aster__</v>
      </c>
      <c r="C9" s="10" t="s">
        <v>974</v>
      </c>
      <c r="D9" s="10" t="s">
        <v>975</v>
      </c>
      <c r="E9" s="9" t="str">
        <f>HYPERLINK("https://twitter.com/r0llerC0aster__/status/1354167671915499522","1354167671915499522")</f>
        <v>1354167671915499522</v>
      </c>
      <c r="F9" s="12" t="s">
        <v>976</v>
      </c>
      <c r="G9" s="12" t="s">
        <v>977</v>
      </c>
      <c r="H9" s="11"/>
      <c r="I9" s="13">
        <v>0.0</v>
      </c>
      <c r="J9" s="13">
        <v>0.0</v>
      </c>
      <c r="K9" s="9" t="str">
        <f t="shared" ref="K9:K10" si="2">HYPERLINK("http://twitter.com/download/android","Twitter for Android")</f>
        <v>Twitter for Android</v>
      </c>
      <c r="L9" s="14">
        <v>608.0</v>
      </c>
      <c r="M9" s="14">
        <v>600.0</v>
      </c>
      <c r="N9" s="14">
        <v>2.0</v>
      </c>
      <c r="O9" s="15"/>
      <c r="P9" s="16">
        <v>44070.413240740745</v>
      </c>
      <c r="Q9" s="11"/>
      <c r="R9" s="10" t="s">
        <v>978</v>
      </c>
      <c r="S9" s="11"/>
      <c r="T9" s="11"/>
      <c r="U9" s="17" t="str">
        <f>HYPERLINK("https://pbs.twimg.com/profile_images/1350512087995449349/VFgpUOi2.jpg","View")</f>
        <v>View</v>
      </c>
      <c r="V9" s="11"/>
      <c r="W9" s="11"/>
      <c r="X9" s="11"/>
      <c r="Y9" s="11"/>
      <c r="Z9" s="11"/>
    </row>
    <row r="10">
      <c r="A10" s="8">
        <v>44222.52582175926</v>
      </c>
      <c r="B10" s="9" t="str">
        <f>HYPERLINK("https://twitter.com/Nestor_pv","@Nestor_pv")</f>
        <v>@Nestor_pv</v>
      </c>
      <c r="C10" s="10" t="s">
        <v>395</v>
      </c>
      <c r="D10" s="10" t="s">
        <v>396</v>
      </c>
      <c r="E10" s="9" t="str">
        <f>HYPERLINK("https://twitter.com/Nestor_pv/status/1354166515382300672","1354166515382300672")</f>
        <v>1354166515382300672</v>
      </c>
      <c r="F10" s="12" t="s">
        <v>397</v>
      </c>
      <c r="G10" s="12" t="s">
        <v>398</v>
      </c>
      <c r="H10" s="11"/>
      <c r="I10" s="13">
        <v>0.0</v>
      </c>
      <c r="J10" s="13">
        <v>0.0</v>
      </c>
      <c r="K10" s="9" t="str">
        <f t="shared" si="2"/>
        <v>Twitter for Android</v>
      </c>
      <c r="L10" s="14">
        <v>367.0</v>
      </c>
      <c r="M10" s="14">
        <v>417.0</v>
      </c>
      <c r="N10" s="14">
        <v>3.0</v>
      </c>
      <c r="O10" s="15"/>
      <c r="P10" s="16">
        <v>39561.383518518516</v>
      </c>
      <c r="Q10" s="10" t="s">
        <v>399</v>
      </c>
      <c r="R10" s="10" t="s">
        <v>400</v>
      </c>
      <c r="S10" s="11"/>
      <c r="T10" s="11"/>
      <c r="U10" s="17" t="str">
        <f>HYPERLINK("https://pbs.twimg.com/profile_images/3308503752/da6d2d51c4f42d3911d13dff635eace2.png","View")</f>
        <v>View</v>
      </c>
      <c r="V10" s="11"/>
      <c r="W10" s="11"/>
      <c r="X10" s="11"/>
      <c r="Y10" s="11"/>
      <c r="Z10" s="11"/>
    </row>
    <row r="11">
      <c r="A11" s="8">
        <v>44222.52190972222</v>
      </c>
      <c r="B11" s="9" t="str">
        <f>HYPERLINK("https://twitter.com/xxviolenciaxx","@xxviolenciaxx")</f>
        <v>@xxviolenciaxx</v>
      </c>
      <c r="C11" s="10" t="s">
        <v>979</v>
      </c>
      <c r="D11" s="10" t="s">
        <v>980</v>
      </c>
      <c r="E11" s="9" t="str">
        <f>HYPERLINK("https://twitter.com/xxviolenciaxx/status/1354165098634498048","1354165098634498048")</f>
        <v>1354165098634498048</v>
      </c>
      <c r="F11" s="12" t="s">
        <v>981</v>
      </c>
      <c r="G11" s="11"/>
      <c r="H11" s="11"/>
      <c r="I11" s="13">
        <v>0.0</v>
      </c>
      <c r="J11" s="13">
        <v>5.0</v>
      </c>
      <c r="K11" s="9" t="str">
        <f t="shared" ref="K11:K12" si="3">HYPERLINK("https://mobile.twitter.com","Twitter Web App")</f>
        <v>Twitter Web App</v>
      </c>
      <c r="L11" s="14">
        <v>147.0</v>
      </c>
      <c r="M11" s="14">
        <v>78.0</v>
      </c>
      <c r="N11" s="14">
        <v>0.0</v>
      </c>
      <c r="O11" s="15"/>
      <c r="P11" s="16">
        <v>44200.350752314815</v>
      </c>
      <c r="Q11" s="10" t="s">
        <v>982</v>
      </c>
      <c r="R11" s="10" t="s">
        <v>983</v>
      </c>
      <c r="S11" s="11"/>
      <c r="T11" s="11"/>
      <c r="U11" s="17" t="str">
        <f>HYPERLINK("https://pbs.twimg.com/profile_images/1353841544307089409/bMD5z8jm.jpg","View")</f>
        <v>View</v>
      </c>
      <c r="V11" s="11"/>
      <c r="W11" s="11"/>
      <c r="X11" s="11"/>
      <c r="Y11" s="11"/>
      <c r="Z11" s="11"/>
    </row>
    <row r="12">
      <c r="A12" s="8">
        <v>44222.52177083334</v>
      </c>
      <c r="B12" s="9" t="str">
        <f>HYPERLINK("https://twitter.com/YastinBv","@YastinBv")</f>
        <v>@YastinBv</v>
      </c>
      <c r="C12" s="10" t="s">
        <v>984</v>
      </c>
      <c r="D12" s="10" t="s">
        <v>985</v>
      </c>
      <c r="E12" s="9" t="str">
        <f>HYPERLINK("https://twitter.com/YastinBv/status/1354165047858262016","1354165047858262016")</f>
        <v>1354165047858262016</v>
      </c>
      <c r="F12" s="11"/>
      <c r="G12" s="11"/>
      <c r="H12" s="11"/>
      <c r="I12" s="13">
        <v>0.0</v>
      </c>
      <c r="J12" s="13">
        <v>0.0</v>
      </c>
      <c r="K12" s="9" t="str">
        <f t="shared" si="3"/>
        <v>Twitter Web App</v>
      </c>
      <c r="L12" s="14">
        <v>3.0</v>
      </c>
      <c r="M12" s="14">
        <v>76.0</v>
      </c>
      <c r="N12" s="14">
        <v>0.0</v>
      </c>
      <c r="O12" s="15"/>
      <c r="P12" s="16">
        <v>43052.35784722222</v>
      </c>
      <c r="Q12" s="11"/>
      <c r="R12" s="11"/>
      <c r="S12" s="11"/>
      <c r="T12" s="11"/>
      <c r="U12" s="17" t="str">
        <f>HYPERLINK("https://pbs.twimg.com/profile_images/1218379983279869952/DcoWSp-O.jpg","View")</f>
        <v>View</v>
      </c>
      <c r="V12" s="11"/>
      <c r="W12" s="11"/>
      <c r="X12" s="11"/>
      <c r="Y12" s="11"/>
      <c r="Z12" s="11"/>
    </row>
    <row r="13">
      <c r="A13" s="8">
        <v>44222.519062499996</v>
      </c>
      <c r="B13" s="9" t="str">
        <f>HYPERLINK("https://twitter.com/Paper_baag","@Paper_baag")</f>
        <v>@Paper_baag</v>
      </c>
      <c r="C13" s="10" t="s">
        <v>401</v>
      </c>
      <c r="D13" s="10" t="s">
        <v>402</v>
      </c>
      <c r="E13" s="9" t="str">
        <f>HYPERLINK("https://twitter.com/Paper_baag/status/1354164066202349568","1354164066202349568")</f>
        <v>1354164066202349568</v>
      </c>
      <c r="F13" s="11"/>
      <c r="G13" s="11"/>
      <c r="H13" s="11"/>
      <c r="I13" s="13">
        <v>0.0</v>
      </c>
      <c r="J13" s="13">
        <v>0.0</v>
      </c>
      <c r="K13" s="9" t="str">
        <f>HYPERLINK("http://twitter.com/download/android","Twitter for Android")</f>
        <v>Twitter for Android</v>
      </c>
      <c r="L13" s="14">
        <v>39.0</v>
      </c>
      <c r="M13" s="14">
        <v>228.0</v>
      </c>
      <c r="N13" s="14">
        <v>0.0</v>
      </c>
      <c r="O13" s="15"/>
      <c r="P13" s="16">
        <v>44073.64612268518</v>
      </c>
      <c r="Q13" s="11"/>
      <c r="R13" s="10" t="s">
        <v>403</v>
      </c>
      <c r="S13" s="11"/>
      <c r="T13" s="11"/>
      <c r="U13" s="17" t="str">
        <f>HYPERLINK("https://pbs.twimg.com/profile_images/1353563294473269248/Mw4O2-Um.jpg","View")</f>
        <v>View</v>
      </c>
      <c r="V13" s="11"/>
      <c r="W13" s="11"/>
      <c r="X13" s="11"/>
      <c r="Y13" s="11"/>
      <c r="Z13" s="11"/>
    </row>
    <row r="14">
      <c r="A14" s="8">
        <v>44222.51563657407</v>
      </c>
      <c r="B14" s="9" t="str">
        <f>HYPERLINK("https://twitter.com/SiempreNeska","@SiempreNeska")</f>
        <v>@SiempreNeska</v>
      </c>
      <c r="C14" s="10" t="s">
        <v>986</v>
      </c>
      <c r="D14" s="10" t="s">
        <v>987</v>
      </c>
      <c r="E14" s="9" t="str">
        <f>HYPERLINK("https://twitter.com/SiempreNeska/status/1354162825141383168","1354162825141383168")</f>
        <v>1354162825141383168</v>
      </c>
      <c r="F14" s="10" t="s">
        <v>988</v>
      </c>
      <c r="G14" s="12" t="s">
        <v>989</v>
      </c>
      <c r="H14" s="11"/>
      <c r="I14" s="13">
        <v>0.0</v>
      </c>
      <c r="J14" s="13">
        <v>2.0</v>
      </c>
      <c r="K14" s="9" t="str">
        <f>HYPERLINK("http://twitter.com/#!/download/ipad","Twitter for iPad")</f>
        <v>Twitter for iPad</v>
      </c>
      <c r="L14" s="14">
        <v>2032.0</v>
      </c>
      <c r="M14" s="14">
        <v>1181.0</v>
      </c>
      <c r="N14" s="14">
        <v>27.0</v>
      </c>
      <c r="O14" s="15"/>
      <c r="P14" s="16">
        <v>40676.694247685184</v>
      </c>
      <c r="Q14" s="10" t="s">
        <v>990</v>
      </c>
      <c r="R14" s="10" t="s">
        <v>991</v>
      </c>
      <c r="S14" s="11"/>
      <c r="T14" s="11"/>
      <c r="U14" s="17" t="str">
        <f>HYPERLINK("https://pbs.twimg.com/profile_images/874733077091819525/xWWAmEeJ.jpg","View")</f>
        <v>View</v>
      </c>
      <c r="V14" s="11"/>
      <c r="W14" s="11"/>
      <c r="X14" s="11"/>
      <c r="Y14" s="11"/>
      <c r="Z14" s="11"/>
    </row>
    <row r="15">
      <c r="A15" s="8">
        <v>44222.51064814815</v>
      </c>
      <c r="B15" s="9" t="str">
        <f>HYPERLINK("https://twitter.com/andruini","@andruini")</f>
        <v>@andruini</v>
      </c>
      <c r="C15" s="10" t="s">
        <v>404</v>
      </c>
      <c r="D15" s="10" t="s">
        <v>405</v>
      </c>
      <c r="E15" s="9" t="str">
        <f>HYPERLINK("https://twitter.com/andruini/status/1354161017673162755","1354161017673162755")</f>
        <v>1354161017673162755</v>
      </c>
      <c r="F15" s="12" t="s">
        <v>406</v>
      </c>
      <c r="G15" s="12" t="s">
        <v>407</v>
      </c>
      <c r="H15" s="11"/>
      <c r="I15" s="13">
        <v>0.0</v>
      </c>
      <c r="J15" s="13">
        <v>0.0</v>
      </c>
      <c r="K15" s="9" t="str">
        <f>HYPERLINK("http://twitter.com/download/iphone","Twitter for iPhone")</f>
        <v>Twitter for iPhone</v>
      </c>
      <c r="L15" s="14">
        <v>1426.0</v>
      </c>
      <c r="M15" s="14">
        <v>434.0</v>
      </c>
      <c r="N15" s="14">
        <v>5.0</v>
      </c>
      <c r="O15" s="15"/>
      <c r="P15" s="16">
        <v>40664.54216435185</v>
      </c>
      <c r="Q15" s="10" t="s">
        <v>408</v>
      </c>
      <c r="R15" s="10" t="s">
        <v>409</v>
      </c>
      <c r="S15" s="11"/>
      <c r="T15" s="11"/>
      <c r="U15" s="17" t="str">
        <f>HYPERLINK("https://pbs.twimg.com/profile_images/1354152657909395458/Bm8HC8B3.jpg","View")</f>
        <v>View</v>
      </c>
      <c r="V15" s="11"/>
      <c r="W15" s="11"/>
      <c r="X15" s="11"/>
      <c r="Y15" s="11"/>
      <c r="Z15" s="11"/>
    </row>
    <row r="16">
      <c r="A16" s="8">
        <v>44222.503171296295</v>
      </c>
      <c r="B16" s="9" t="str">
        <f>HYPERLINK("https://twitter.com/El__Yayo","@El__Yayo")</f>
        <v>@El__Yayo</v>
      </c>
      <c r="C16" s="10" t="s">
        <v>992</v>
      </c>
      <c r="D16" s="10" t="s">
        <v>993</v>
      </c>
      <c r="E16" s="9" t="str">
        <f>HYPERLINK("https://twitter.com/El__Yayo/status/1354158307288756226","1354158307288756226")</f>
        <v>1354158307288756226</v>
      </c>
      <c r="F16" s="10" t="s">
        <v>994</v>
      </c>
      <c r="G16" s="12" t="s">
        <v>995</v>
      </c>
      <c r="H16" s="11"/>
      <c r="I16" s="13">
        <v>3.0</v>
      </c>
      <c r="J16" s="13">
        <v>32.0</v>
      </c>
      <c r="K16" s="9" t="str">
        <f>HYPERLINK("https://mobile.twitter.com","Twitter Web App")</f>
        <v>Twitter Web App</v>
      </c>
      <c r="L16" s="14">
        <v>11571.0</v>
      </c>
      <c r="M16" s="14">
        <v>945.0</v>
      </c>
      <c r="N16" s="14">
        <v>153.0</v>
      </c>
      <c r="O16" s="15"/>
      <c r="P16" s="16">
        <v>40690.5246412037</v>
      </c>
      <c r="Q16" s="11"/>
      <c r="R16" s="10" t="s">
        <v>996</v>
      </c>
      <c r="S16" s="11"/>
      <c r="T16" s="11"/>
      <c r="U16" s="17" t="str">
        <f>HYPERLINK("https://pbs.twimg.com/profile_images/1070665065253298176/Dd6pLB5J.jpg","View")</f>
        <v>View</v>
      </c>
      <c r="V16" s="11"/>
      <c r="W16" s="11"/>
      <c r="X16" s="11"/>
      <c r="Y16" s="11"/>
      <c r="Z16" s="11"/>
    </row>
    <row r="17">
      <c r="A17" s="8">
        <v>44222.498449074075</v>
      </c>
      <c r="B17" s="9" t="str">
        <f>HYPERLINK("https://twitter.com/Scepticus10","@Scepticus10")</f>
        <v>@Scepticus10</v>
      </c>
      <c r="C17" s="10" t="s">
        <v>997</v>
      </c>
      <c r="D17" s="10" t="s">
        <v>998</v>
      </c>
      <c r="E17" s="9" t="str">
        <f>HYPERLINK("https://twitter.com/Scepticus10/status/1354156595786240004","1354156595786240004")</f>
        <v>1354156595786240004</v>
      </c>
      <c r="F17" s="12" t="s">
        <v>999</v>
      </c>
      <c r="G17" s="11"/>
      <c r="H17" s="11"/>
      <c r="I17" s="13">
        <v>0.0</v>
      </c>
      <c r="J17" s="13">
        <v>0.0</v>
      </c>
      <c r="K17" s="9" t="str">
        <f>HYPERLINK("http://twitter.com/download/iphone","Twitter for iPhone")</f>
        <v>Twitter for iPhone</v>
      </c>
      <c r="L17" s="14">
        <v>132.0</v>
      </c>
      <c r="M17" s="14">
        <v>254.0</v>
      </c>
      <c r="N17" s="14">
        <v>1.0</v>
      </c>
      <c r="O17" s="15"/>
      <c r="P17" s="16">
        <v>43555.14072916667</v>
      </c>
      <c r="Q17" s="11"/>
      <c r="R17" s="11"/>
      <c r="S17" s="11"/>
      <c r="T17" s="11"/>
      <c r="U17" s="17" t="str">
        <f>HYPERLINK("https://pbs.twimg.com/profile_images/1112302864423178240/dO7a_dAK.png","View")</f>
        <v>View</v>
      </c>
      <c r="V17" s="11"/>
      <c r="W17" s="11"/>
      <c r="X17" s="11"/>
      <c r="Y17" s="11"/>
      <c r="Z17" s="11"/>
    </row>
    <row r="18">
      <c r="A18" s="8">
        <v>44222.48601851852</v>
      </c>
      <c r="B18" s="9" t="str">
        <f>HYPERLINK("https://twitter.com/marinalejan","@marinalejan")</f>
        <v>@marinalejan</v>
      </c>
      <c r="C18" s="10" t="s">
        <v>1000</v>
      </c>
      <c r="D18" s="10" t="s">
        <v>1001</v>
      </c>
      <c r="E18" s="9" t="str">
        <f>HYPERLINK("https://twitter.com/marinalejan/status/1354152093125373953","1354152093125373953")</f>
        <v>1354152093125373953</v>
      </c>
      <c r="F18" s="12" t="s">
        <v>1002</v>
      </c>
      <c r="G18" s="12" t="s">
        <v>1003</v>
      </c>
      <c r="H18" s="11"/>
      <c r="I18" s="13">
        <v>0.0</v>
      </c>
      <c r="J18" s="13">
        <v>2.0</v>
      </c>
      <c r="K18" s="9" t="str">
        <f t="shared" ref="K18:K20" si="4">HYPERLINK("http://twitter.com/download/android","Twitter for Android")</f>
        <v>Twitter for Android</v>
      </c>
      <c r="L18" s="14">
        <v>667.0</v>
      </c>
      <c r="M18" s="14">
        <v>748.0</v>
      </c>
      <c r="N18" s="14">
        <v>3.0</v>
      </c>
      <c r="O18" s="15"/>
      <c r="P18" s="16">
        <v>40982.153032407405</v>
      </c>
      <c r="Q18" s="10" t="s">
        <v>1004</v>
      </c>
      <c r="R18" s="10" t="s">
        <v>1005</v>
      </c>
      <c r="S18" s="11"/>
      <c r="T18" s="11"/>
      <c r="U18" s="17" t="str">
        <f>HYPERLINK("https://pbs.twimg.com/profile_images/1343172005701570561/DKhRt62u.jpg","View")</f>
        <v>View</v>
      </c>
      <c r="V18" s="11"/>
      <c r="W18" s="11"/>
      <c r="X18" s="11"/>
      <c r="Y18" s="11"/>
      <c r="Z18" s="11"/>
    </row>
    <row r="19">
      <c r="A19" s="8">
        <v>44222.48506944445</v>
      </c>
      <c r="B19" s="9" t="str">
        <f>HYPERLINK("https://twitter.com/_DiggoryAlex","@_DiggoryAlex")</f>
        <v>@_DiggoryAlex</v>
      </c>
      <c r="C19" s="10" t="s">
        <v>1006</v>
      </c>
      <c r="D19" s="10" t="s">
        <v>1007</v>
      </c>
      <c r="E19" s="9" t="str">
        <f>HYPERLINK("https://twitter.com/_DiggoryAlex/status/1354151747552485377","1354151747552485377")</f>
        <v>1354151747552485377</v>
      </c>
      <c r="F19" s="11"/>
      <c r="G19" s="11"/>
      <c r="H19" s="11"/>
      <c r="I19" s="13">
        <v>0.0</v>
      </c>
      <c r="J19" s="13">
        <v>0.0</v>
      </c>
      <c r="K19" s="9" t="str">
        <f t="shared" si="4"/>
        <v>Twitter for Android</v>
      </c>
      <c r="L19" s="14">
        <v>175.0</v>
      </c>
      <c r="M19" s="14">
        <v>87.0</v>
      </c>
      <c r="N19" s="14">
        <v>1.0</v>
      </c>
      <c r="O19" s="15"/>
      <c r="P19" s="16">
        <v>43789.44133101852</v>
      </c>
      <c r="Q19" s="10" t="s">
        <v>1008</v>
      </c>
      <c r="R19" s="10" t="s">
        <v>1009</v>
      </c>
      <c r="S19" s="11"/>
      <c r="T19" s="11"/>
      <c r="U19" s="17" t="str">
        <f>HYPERLINK("https://pbs.twimg.com/profile_images/1349737605865345024/ELapfYYX.jpg","View")</f>
        <v>View</v>
      </c>
      <c r="V19" s="11"/>
      <c r="W19" s="11"/>
      <c r="X19" s="11"/>
      <c r="Y19" s="11"/>
      <c r="Z19" s="11"/>
    </row>
    <row r="20">
      <c r="A20" s="8">
        <v>44222.47689814815</v>
      </c>
      <c r="B20" s="9" t="str">
        <f>HYPERLINK("https://twitter.com/ohdiosaaaaa","@ohdiosaaaaa")</f>
        <v>@ohdiosaaaaa</v>
      </c>
      <c r="C20" s="10" t="s">
        <v>1010</v>
      </c>
      <c r="D20" s="10" t="s">
        <v>1011</v>
      </c>
      <c r="E20" s="9" t="str">
        <f>HYPERLINK("https://twitter.com/ohdiosaaaaa/status/1354148785702764545","1354148785702764545")</f>
        <v>1354148785702764545</v>
      </c>
      <c r="F20" s="11"/>
      <c r="G20" s="11"/>
      <c r="H20" s="11"/>
      <c r="I20" s="13">
        <v>0.0</v>
      </c>
      <c r="J20" s="13">
        <v>4.0</v>
      </c>
      <c r="K20" s="9" t="str">
        <f t="shared" si="4"/>
        <v>Twitter for Android</v>
      </c>
      <c r="L20" s="14">
        <v>88.0</v>
      </c>
      <c r="M20" s="14">
        <v>820.0</v>
      </c>
      <c r="N20" s="14">
        <v>1.0</v>
      </c>
      <c r="O20" s="15"/>
      <c r="P20" s="16">
        <v>41513.22111111111</v>
      </c>
      <c r="Q20" s="10" t="s">
        <v>866</v>
      </c>
      <c r="R20" s="10" t="s">
        <v>1012</v>
      </c>
      <c r="S20" s="11"/>
      <c r="T20" s="11"/>
      <c r="U20" s="17" t="str">
        <f>HYPERLINK("https://pbs.twimg.com/profile_images/1327745664734867456/yqQAwHKG.jpg","View")</f>
        <v>View</v>
      </c>
      <c r="V20" s="11"/>
      <c r="W20" s="11"/>
      <c r="X20" s="11"/>
      <c r="Y20" s="11"/>
      <c r="Z20" s="11"/>
    </row>
    <row r="21">
      <c r="A21" s="8">
        <v>44222.474768518514</v>
      </c>
      <c r="B21" s="9" t="str">
        <f>HYPERLINK("https://twitter.com/closureaitana","@closureaitana")</f>
        <v>@closureaitana</v>
      </c>
      <c r="C21" s="10" t="s">
        <v>1013</v>
      </c>
      <c r="D21" s="10" t="s">
        <v>1014</v>
      </c>
      <c r="E21" s="9" t="str">
        <f>HYPERLINK("https://twitter.com/closureaitana/status/1354148015188140032","1354148015188140032")</f>
        <v>1354148015188140032</v>
      </c>
      <c r="F21" s="12" t="s">
        <v>1015</v>
      </c>
      <c r="G21" s="11"/>
      <c r="H21" s="11"/>
      <c r="I21" s="13">
        <v>0.0</v>
      </c>
      <c r="J21" s="13">
        <v>0.0</v>
      </c>
      <c r="K21" s="9" t="str">
        <f>HYPERLINK("http://twitter.com/download/iphone","Twitter for iPhone")</f>
        <v>Twitter for iPhone</v>
      </c>
      <c r="L21" s="14">
        <v>433.0</v>
      </c>
      <c r="M21" s="14">
        <v>516.0</v>
      </c>
      <c r="N21" s="14">
        <v>17.0</v>
      </c>
      <c r="O21" s="15"/>
      <c r="P21" s="16">
        <v>41692.03685185185</v>
      </c>
      <c r="Q21" s="10" t="s">
        <v>1016</v>
      </c>
      <c r="R21" s="10" t="s">
        <v>1017</v>
      </c>
      <c r="S21" s="11"/>
      <c r="T21" s="11"/>
      <c r="U21" s="17" t="str">
        <f>HYPERLINK("https://pbs.twimg.com/profile_images/1348027317348655109/v_uKR2kr.jpg","View")</f>
        <v>View</v>
      </c>
      <c r="V21" s="11"/>
      <c r="W21" s="11"/>
      <c r="X21" s="11"/>
      <c r="Y21" s="11"/>
      <c r="Z21" s="11"/>
    </row>
    <row r="22">
      <c r="A22" s="8">
        <v>44222.474328703705</v>
      </c>
      <c r="B22" s="9" t="str">
        <f>HYPERLINK("https://twitter.com/azaamaranto","@azaamaranto")</f>
        <v>@azaamaranto</v>
      </c>
      <c r="C22" s="10" t="s">
        <v>1018</v>
      </c>
      <c r="D22" s="10" t="s">
        <v>1019</v>
      </c>
      <c r="E22" s="9" t="str">
        <f>HYPERLINK("https://twitter.com/azaamaranto/status/1354147856769294337","1354147856769294337")</f>
        <v>1354147856769294337</v>
      </c>
      <c r="F22" s="12" t="s">
        <v>1020</v>
      </c>
      <c r="G22" s="11"/>
      <c r="H22" s="11"/>
      <c r="I22" s="13">
        <v>0.0</v>
      </c>
      <c r="J22" s="13">
        <v>0.0</v>
      </c>
      <c r="K22" s="9" t="str">
        <f>HYPERLINK("http://twitter.com/download/android","Twitter for Android")</f>
        <v>Twitter for Android</v>
      </c>
      <c r="L22" s="14">
        <v>368.0</v>
      </c>
      <c r="M22" s="14">
        <v>260.0</v>
      </c>
      <c r="N22" s="14">
        <v>0.0</v>
      </c>
      <c r="O22" s="15"/>
      <c r="P22" s="16">
        <v>41148.28655092593</v>
      </c>
      <c r="Q22" s="11"/>
      <c r="R22" s="10" t="s">
        <v>1021</v>
      </c>
      <c r="S22" s="11"/>
      <c r="T22" s="11"/>
      <c r="U22" s="17" t="str">
        <f>HYPERLINK("https://pbs.twimg.com/profile_images/1352216334961172482/LZl-51mk.jpg","View")</f>
        <v>View</v>
      </c>
      <c r="V22" s="11"/>
      <c r="W22" s="11"/>
      <c r="X22" s="11"/>
      <c r="Y22" s="11"/>
      <c r="Z22" s="11"/>
    </row>
    <row r="23">
      <c r="A23" s="8">
        <v>44222.474270833336</v>
      </c>
      <c r="B23" s="9" t="str">
        <f>HYPERLINK("https://twitter.com/xGenesis99x","@xGenesis99x")</f>
        <v>@xGenesis99x</v>
      </c>
      <c r="C23" s="10" t="s">
        <v>410</v>
      </c>
      <c r="D23" s="10" t="s">
        <v>411</v>
      </c>
      <c r="E23" s="9" t="str">
        <f>HYPERLINK("https://twitter.com/xGenesis99x/status/1354147835789406211","1354147835789406211")</f>
        <v>1354147835789406211</v>
      </c>
      <c r="F23" s="11"/>
      <c r="G23" s="11"/>
      <c r="H23" s="11"/>
      <c r="I23" s="13">
        <v>1.0</v>
      </c>
      <c r="J23" s="13">
        <v>2.0</v>
      </c>
      <c r="K23" s="9" t="str">
        <f>HYPERLINK("https://mobile.twitter.com","Twitter Web App")</f>
        <v>Twitter Web App</v>
      </c>
      <c r="L23" s="14">
        <v>84.0</v>
      </c>
      <c r="M23" s="14">
        <v>418.0</v>
      </c>
      <c r="N23" s="14">
        <v>0.0</v>
      </c>
      <c r="O23" s="15"/>
      <c r="P23" s="16">
        <v>44198.56391203703</v>
      </c>
      <c r="Q23" s="11"/>
      <c r="R23" s="10" t="s">
        <v>412</v>
      </c>
      <c r="S23" s="11"/>
      <c r="T23" s="11"/>
      <c r="U23" s="17" t="str">
        <f>HYPERLINK("https://pbs.twimg.com/profile_images/1345483755969011712/QZqkM9rg.jpg","View")</f>
        <v>View</v>
      </c>
      <c r="V23" s="11"/>
      <c r="W23" s="11"/>
      <c r="X23" s="11"/>
      <c r="Y23" s="11"/>
      <c r="Z23" s="11"/>
    </row>
    <row r="24">
      <c r="A24" s="8">
        <v>44222.473703703705</v>
      </c>
      <c r="B24" s="9" t="str">
        <f>HYPERLINK("https://twitter.com/DylanLeandro18","@DylanLeandro18")</f>
        <v>@DylanLeandro18</v>
      </c>
      <c r="C24" s="10" t="s">
        <v>413</v>
      </c>
      <c r="D24" s="10" t="s">
        <v>414</v>
      </c>
      <c r="E24" s="9" t="str">
        <f>HYPERLINK("https://twitter.com/DylanLeandro18/status/1354147628863410176","1354147628863410176")</f>
        <v>1354147628863410176</v>
      </c>
      <c r="F24" s="11"/>
      <c r="G24" s="11"/>
      <c r="H24" s="11"/>
      <c r="I24" s="13">
        <v>0.0</v>
      </c>
      <c r="J24" s="13">
        <v>1.0</v>
      </c>
      <c r="K24" s="9" t="str">
        <f>HYPERLINK("http://twitter.com/download/android","Twitter for Android")</f>
        <v>Twitter for Android</v>
      </c>
      <c r="L24" s="14">
        <v>37.0</v>
      </c>
      <c r="M24" s="14">
        <v>53.0</v>
      </c>
      <c r="N24" s="14">
        <v>0.0</v>
      </c>
      <c r="O24" s="15"/>
      <c r="P24" s="16">
        <v>43983.581562499996</v>
      </c>
      <c r="Q24" s="11"/>
      <c r="R24" s="10" t="s">
        <v>415</v>
      </c>
      <c r="S24" s="11"/>
      <c r="T24" s="11"/>
      <c r="U24" s="17" t="str">
        <f>HYPERLINK("https://pbs.twimg.com/profile_images/1351254161900392448/ursquEZr.jpg","View")</f>
        <v>View</v>
      </c>
      <c r="V24" s="11"/>
      <c r="W24" s="11"/>
      <c r="X24" s="11"/>
      <c r="Y24" s="11"/>
      <c r="Z24" s="11"/>
    </row>
    <row r="25">
      <c r="A25" s="8">
        <v>44222.47298611111</v>
      </c>
      <c r="B25" s="9" t="str">
        <f>HYPERLINK("https://twitter.com/Asphyxia_r","@Asphyxia_r")</f>
        <v>@Asphyxia_r</v>
      </c>
      <c r="C25" s="10" t="s">
        <v>1022</v>
      </c>
      <c r="D25" s="10" t="s">
        <v>1023</v>
      </c>
      <c r="E25" s="9" t="str">
        <f>HYPERLINK("https://twitter.com/Asphyxia_r/status/1354147368841732097","1354147368841732097")</f>
        <v>1354147368841732097</v>
      </c>
      <c r="F25" s="10" t="s">
        <v>1024</v>
      </c>
      <c r="G25" s="11"/>
      <c r="H25" s="11"/>
      <c r="I25" s="13">
        <v>0.0</v>
      </c>
      <c r="J25" s="13">
        <v>0.0</v>
      </c>
      <c r="K25" s="9" t="str">
        <f>HYPERLINK("http://twitter.com/#!/download/ipad","Twitter for iPad")</f>
        <v>Twitter for iPad</v>
      </c>
      <c r="L25" s="14">
        <v>735.0</v>
      </c>
      <c r="M25" s="14">
        <v>487.0</v>
      </c>
      <c r="N25" s="14">
        <v>8.0</v>
      </c>
      <c r="O25" s="15"/>
      <c r="P25" s="16">
        <v>40901.13701388889</v>
      </c>
      <c r="Q25" s="10" t="s">
        <v>1025</v>
      </c>
      <c r="R25" s="10" t="s">
        <v>1026</v>
      </c>
      <c r="S25" s="11"/>
      <c r="T25" s="11"/>
      <c r="U25" s="17" t="str">
        <f>HYPERLINK("https://pbs.twimg.com/profile_images/1336767160048381953/cVE58VxI.jpg","View")</f>
        <v>View</v>
      </c>
      <c r="V25" s="11"/>
      <c r="W25" s="11"/>
      <c r="X25" s="11"/>
      <c r="Y25" s="11"/>
      <c r="Z25" s="11"/>
    </row>
    <row r="26">
      <c r="A26" s="8">
        <v>44222.47262731481</v>
      </c>
      <c r="B26" s="9" t="str">
        <f>HYPERLINK("https://twitter.com/m9hol3ly93","@m9hol3ly93")</f>
        <v>@m9hol3ly93</v>
      </c>
      <c r="C26" s="10" t="s">
        <v>1027</v>
      </c>
      <c r="D26" s="10" t="s">
        <v>1028</v>
      </c>
      <c r="E26" s="9" t="str">
        <f>HYPERLINK("https://twitter.com/m9hol3ly93/status/1354147240701521922","1354147240701521922")</f>
        <v>1354147240701521922</v>
      </c>
      <c r="F26" s="11"/>
      <c r="G26" s="11"/>
      <c r="H26" s="11"/>
      <c r="I26" s="13">
        <v>0.0</v>
      </c>
      <c r="J26" s="13">
        <v>0.0</v>
      </c>
      <c r="K26" s="9" t="str">
        <f>HYPERLINK("https://mobile.twitter.com","Twitter Web App")</f>
        <v>Twitter Web App</v>
      </c>
      <c r="L26" s="14">
        <v>185.0</v>
      </c>
      <c r="M26" s="14">
        <v>208.0</v>
      </c>
      <c r="N26" s="14">
        <v>0.0</v>
      </c>
      <c r="O26" s="15"/>
      <c r="P26" s="16">
        <v>43656.70060185185</v>
      </c>
      <c r="Q26" s="10" t="s">
        <v>1029</v>
      </c>
      <c r="R26" s="10" t="s">
        <v>1030</v>
      </c>
      <c r="S26" s="11"/>
      <c r="T26" s="11"/>
      <c r="U26" s="17" t="str">
        <f>HYPERLINK("https://pbs.twimg.com/profile_images/1353808862500048896/2hxG51dI.jpg","View")</f>
        <v>View</v>
      </c>
      <c r="V26" s="11"/>
      <c r="W26" s="11"/>
      <c r="X26" s="11"/>
      <c r="Y26" s="11"/>
      <c r="Z26" s="11"/>
    </row>
    <row r="27">
      <c r="A27" s="8">
        <v>44222.46486111111</v>
      </c>
      <c r="B27" s="9" t="str">
        <f>HYPERLINK("https://twitter.com/98deluxemendes","@98deluxemendes")</f>
        <v>@98deluxemendes</v>
      </c>
      <c r="C27" s="10" t="s">
        <v>1031</v>
      </c>
      <c r="D27" s="10" t="s">
        <v>1032</v>
      </c>
      <c r="E27" s="9" t="str">
        <f>HYPERLINK("https://twitter.com/98deluxemendes/status/1354144425354686467","1354144425354686467")</f>
        <v>1354144425354686467</v>
      </c>
      <c r="F27" s="11"/>
      <c r="G27" s="11"/>
      <c r="H27" s="11"/>
      <c r="I27" s="13">
        <v>0.0</v>
      </c>
      <c r="J27" s="13">
        <v>0.0</v>
      </c>
      <c r="K27" s="9" t="str">
        <f t="shared" ref="K27:K29" si="5">HYPERLINK("http://twitter.com/download/android","Twitter for Android")</f>
        <v>Twitter for Android</v>
      </c>
      <c r="L27" s="14">
        <v>140.0</v>
      </c>
      <c r="M27" s="14">
        <v>185.0</v>
      </c>
      <c r="N27" s="14">
        <v>0.0</v>
      </c>
      <c r="O27" s="15"/>
      <c r="P27" s="16">
        <v>44219.587592592594</v>
      </c>
      <c r="Q27" s="10" t="s">
        <v>1033</v>
      </c>
      <c r="R27" s="10" t="s">
        <v>1034</v>
      </c>
      <c r="S27" s="12" t="s">
        <v>1035</v>
      </c>
      <c r="T27" s="11"/>
      <c r="U27" s="17" t="str">
        <f>HYPERLINK("https://pbs.twimg.com/profile_images/1353883763529412612/UDe6yAOl.jpg","View")</f>
        <v>View</v>
      </c>
      <c r="V27" s="11"/>
      <c r="W27" s="11"/>
      <c r="X27" s="11"/>
      <c r="Y27" s="11"/>
      <c r="Z27" s="11"/>
    </row>
    <row r="28">
      <c r="A28" s="8">
        <v>44222.45471064815</v>
      </c>
      <c r="B28" s="9" t="str">
        <f>HYPERLINK("https://twitter.com/malastalker","@malastalker")</f>
        <v>@malastalker</v>
      </c>
      <c r="C28" s="10" t="s">
        <v>1036</v>
      </c>
      <c r="D28" s="10" t="s">
        <v>1037</v>
      </c>
      <c r="E28" s="9" t="str">
        <f>HYPERLINK("https://twitter.com/malastalker/status/1354140746467704832","1354140746467704832")</f>
        <v>1354140746467704832</v>
      </c>
      <c r="F28" s="11"/>
      <c r="G28" s="11"/>
      <c r="H28" s="11"/>
      <c r="I28" s="13">
        <v>0.0</v>
      </c>
      <c r="J28" s="13">
        <v>0.0</v>
      </c>
      <c r="K28" s="9" t="str">
        <f t="shared" si="5"/>
        <v>Twitter for Android</v>
      </c>
      <c r="L28" s="14">
        <v>528.0</v>
      </c>
      <c r="M28" s="14">
        <v>394.0</v>
      </c>
      <c r="N28" s="14">
        <v>4.0</v>
      </c>
      <c r="O28" s="15"/>
      <c r="P28" s="16">
        <v>40582.57962962963</v>
      </c>
      <c r="Q28" s="11"/>
      <c r="R28" s="10" t="s">
        <v>1038</v>
      </c>
      <c r="S28" s="12" t="s">
        <v>1039</v>
      </c>
      <c r="T28" s="11"/>
      <c r="U28" s="17" t="str">
        <f>HYPERLINK("https://pbs.twimg.com/profile_images/1332203363941945344/BEZjenM0.jpg","View")</f>
        <v>View</v>
      </c>
      <c r="V28" s="11"/>
      <c r="W28" s="11"/>
      <c r="X28" s="11"/>
      <c r="Y28" s="11"/>
      <c r="Z28" s="11"/>
    </row>
    <row r="29">
      <c r="A29" s="8">
        <v>44222.44372685185</v>
      </c>
      <c r="B29" s="9" t="str">
        <f>HYPERLINK("https://twitter.com/strongviole","@strongviole")</f>
        <v>@strongviole</v>
      </c>
      <c r="C29" s="10" t="s">
        <v>1040</v>
      </c>
      <c r="D29" s="10" t="s">
        <v>1041</v>
      </c>
      <c r="E29" s="9" t="str">
        <f>HYPERLINK("https://twitter.com/strongviole/status/1354136768124248064","1354136768124248064")</f>
        <v>1354136768124248064</v>
      </c>
      <c r="F29" s="11"/>
      <c r="G29" s="11"/>
      <c r="H29" s="11"/>
      <c r="I29" s="13">
        <v>0.0</v>
      </c>
      <c r="J29" s="13">
        <v>1.0</v>
      </c>
      <c r="K29" s="9" t="str">
        <f t="shared" si="5"/>
        <v>Twitter for Android</v>
      </c>
      <c r="L29" s="14">
        <v>3287.0</v>
      </c>
      <c r="M29" s="14">
        <v>1441.0</v>
      </c>
      <c r="N29" s="14">
        <v>5.0</v>
      </c>
      <c r="O29" s="15"/>
      <c r="P29" s="16">
        <v>42525.40474537037</v>
      </c>
      <c r="Q29" s="10" t="s">
        <v>1042</v>
      </c>
      <c r="R29" s="10" t="s">
        <v>1043</v>
      </c>
      <c r="S29" s="12" t="s">
        <v>1044</v>
      </c>
      <c r="T29" s="11"/>
      <c r="U29" s="17" t="str">
        <f>HYPERLINK("https://pbs.twimg.com/profile_images/1349564491093204995/HVmCaJgB.jpg","View")</f>
        <v>View</v>
      </c>
      <c r="V29" s="11"/>
      <c r="W29" s="11"/>
      <c r="X29" s="11"/>
      <c r="Y29" s="11"/>
      <c r="Z29" s="11"/>
    </row>
    <row r="30">
      <c r="A30" s="8">
        <v>44222.43826388889</v>
      </c>
      <c r="B30" s="9" t="str">
        <f>HYPERLINK("https://twitter.com/sweetartemisa","@sweetartemisa")</f>
        <v>@sweetartemisa</v>
      </c>
      <c r="C30" s="10" t="s">
        <v>1045</v>
      </c>
      <c r="D30" s="10" t="s">
        <v>1046</v>
      </c>
      <c r="E30" s="9" t="str">
        <f>HYPERLINK("https://twitter.com/sweetartemisa/status/1354134785795481602","1354134785795481602")</f>
        <v>1354134785795481602</v>
      </c>
      <c r="F30" s="10" t="s">
        <v>1047</v>
      </c>
      <c r="G30" s="11"/>
      <c r="H30" s="11"/>
      <c r="I30" s="13">
        <v>0.0</v>
      </c>
      <c r="J30" s="13">
        <v>0.0</v>
      </c>
      <c r="K30" s="9" t="str">
        <f>HYPERLINK("http://twitter.com/download/iphone","Twitter for iPhone")</f>
        <v>Twitter for iPhone</v>
      </c>
      <c r="L30" s="14">
        <v>692.0</v>
      </c>
      <c r="M30" s="14">
        <v>1683.0</v>
      </c>
      <c r="N30" s="14">
        <v>5.0</v>
      </c>
      <c r="O30" s="15"/>
      <c r="P30" s="16">
        <v>40601.883634259255</v>
      </c>
      <c r="Q30" s="10" t="s">
        <v>1048</v>
      </c>
      <c r="R30" s="10" t="s">
        <v>1049</v>
      </c>
      <c r="S30" s="11"/>
      <c r="T30" s="11"/>
      <c r="U30" s="17" t="str">
        <f>HYPERLINK("https://pbs.twimg.com/profile_images/1308603992398757888/d_m5iqzb.jpg","View")</f>
        <v>View</v>
      </c>
      <c r="V30" s="11"/>
      <c r="W30" s="11"/>
      <c r="X30" s="11"/>
      <c r="Y30" s="11"/>
      <c r="Z30" s="11"/>
    </row>
    <row r="31">
      <c r="A31" s="8">
        <v>44222.43351851852</v>
      </c>
      <c r="B31" s="9" t="str">
        <f>HYPERLINK("https://twitter.com/Jannelie5","@Jannelie5")</f>
        <v>@Jannelie5</v>
      </c>
      <c r="C31" s="10" t="s">
        <v>1050</v>
      </c>
      <c r="D31" s="10" t="s">
        <v>1051</v>
      </c>
      <c r="E31" s="9" t="str">
        <f>HYPERLINK("https://twitter.com/Jannelie5/status/1354133067213000704","1354133067213000704")</f>
        <v>1354133067213000704</v>
      </c>
      <c r="F31" s="11"/>
      <c r="G31" s="11"/>
      <c r="H31" s="11"/>
      <c r="I31" s="13">
        <v>0.0</v>
      </c>
      <c r="J31" s="13">
        <v>0.0</v>
      </c>
      <c r="K31" s="9" t="str">
        <f>HYPERLINK("https://mobile.twitter.com","Twitter Web App")</f>
        <v>Twitter Web App</v>
      </c>
      <c r="L31" s="14">
        <v>1684.0</v>
      </c>
      <c r="M31" s="14">
        <v>1611.0</v>
      </c>
      <c r="N31" s="14">
        <v>4.0</v>
      </c>
      <c r="O31" s="15"/>
      <c r="P31" s="16">
        <v>41274.49592592593</v>
      </c>
      <c r="Q31" s="10" t="s">
        <v>139</v>
      </c>
      <c r="R31" s="10" t="s">
        <v>1052</v>
      </c>
      <c r="S31" s="12" t="s">
        <v>1053</v>
      </c>
      <c r="T31" s="11"/>
      <c r="U31" s="17" t="str">
        <f>HYPERLINK("https://pbs.twimg.com/profile_images/1353061931108552710/Qm23YkVa.jpg","View")</f>
        <v>View</v>
      </c>
      <c r="V31" s="11"/>
      <c r="W31" s="11"/>
      <c r="X31" s="11"/>
      <c r="Y31" s="11"/>
      <c r="Z31" s="11"/>
    </row>
    <row r="32">
      <c r="A32" s="8">
        <v>44222.43310185186</v>
      </c>
      <c r="B32" s="9" t="str">
        <f>HYPERLINK("https://twitter.com/hsjjwxnani","@hsjjwxnani")</f>
        <v>@hsjjwxnani</v>
      </c>
      <c r="C32" s="10" t="s">
        <v>1054</v>
      </c>
      <c r="D32" s="10" t="s">
        <v>1055</v>
      </c>
      <c r="E32" s="9" t="str">
        <f>HYPERLINK("https://twitter.com/hsjjwxnani/status/1354132915471478786","1354132915471478786")</f>
        <v>1354132915471478786</v>
      </c>
      <c r="F32" s="11"/>
      <c r="G32" s="11"/>
      <c r="H32" s="11"/>
      <c r="I32" s="13">
        <v>0.0</v>
      </c>
      <c r="J32" s="13">
        <v>0.0</v>
      </c>
      <c r="K32" s="9" t="str">
        <f t="shared" ref="K32:K34" si="6">HYPERLINK("http://twitter.com/download/android","Twitter for Android")</f>
        <v>Twitter for Android</v>
      </c>
      <c r="L32" s="14">
        <v>626.0</v>
      </c>
      <c r="M32" s="14">
        <v>673.0</v>
      </c>
      <c r="N32" s="14">
        <v>13.0</v>
      </c>
      <c r="O32" s="15"/>
      <c r="P32" s="16">
        <v>41938.62123842593</v>
      </c>
      <c r="Q32" s="10" t="s">
        <v>1056</v>
      </c>
      <c r="R32" s="10" t="s">
        <v>1057</v>
      </c>
      <c r="S32" s="12" t="s">
        <v>1058</v>
      </c>
      <c r="T32" s="11"/>
      <c r="U32" s="17" t="str">
        <f>HYPERLINK("https://pbs.twimg.com/profile_images/1352610064322883584/F2Mz-5WC.jpg","View")</f>
        <v>View</v>
      </c>
      <c r="V32" s="11"/>
      <c r="W32" s="11"/>
      <c r="X32" s="11"/>
      <c r="Y32" s="11"/>
      <c r="Z32" s="11"/>
    </row>
    <row r="33">
      <c r="A33" s="8">
        <v>44222.428136574075</v>
      </c>
      <c r="B33" s="9" t="str">
        <f>HYPERLINK("https://twitter.com/atrapaborregos","@atrapaborregos")</f>
        <v>@atrapaborregos</v>
      </c>
      <c r="C33" s="10" t="s">
        <v>1059</v>
      </c>
      <c r="D33" s="10" t="s">
        <v>1060</v>
      </c>
      <c r="E33" s="9" t="str">
        <f>HYPERLINK("https://twitter.com/atrapaborregos/status/1354131117260079104","1354131117260079104")</f>
        <v>1354131117260079104</v>
      </c>
      <c r="F33" s="12" t="s">
        <v>1061</v>
      </c>
      <c r="G33" s="11"/>
      <c r="H33" s="11"/>
      <c r="I33" s="13">
        <v>0.0</v>
      </c>
      <c r="J33" s="13">
        <v>1.0</v>
      </c>
      <c r="K33" s="9" t="str">
        <f t="shared" si="6"/>
        <v>Twitter for Android</v>
      </c>
      <c r="L33" s="14">
        <v>582.0</v>
      </c>
      <c r="M33" s="14">
        <v>503.0</v>
      </c>
      <c r="N33" s="14">
        <v>1.0</v>
      </c>
      <c r="O33" s="15"/>
      <c r="P33" s="16">
        <v>40841.15556712963</v>
      </c>
      <c r="Q33" s="11"/>
      <c r="R33" s="11"/>
      <c r="S33" s="11"/>
      <c r="T33" s="11"/>
      <c r="U33" s="17" t="str">
        <f>HYPERLINK("https://pbs.twimg.com/profile_images/1262436737256755200/lLb_ijT9.jpg","View")</f>
        <v>View</v>
      </c>
      <c r="V33" s="11"/>
      <c r="W33" s="11"/>
      <c r="X33" s="11"/>
      <c r="Y33" s="11"/>
      <c r="Z33" s="11"/>
    </row>
    <row r="34">
      <c r="A34" s="8">
        <v>44222.42472222222</v>
      </c>
      <c r="B34" s="9" t="str">
        <f>HYPERLINK("https://twitter.com/VanneTzB","@VanneTzB")</f>
        <v>@VanneTzB</v>
      </c>
      <c r="C34" s="10" t="s">
        <v>1062</v>
      </c>
      <c r="D34" s="10" t="s">
        <v>1063</v>
      </c>
      <c r="E34" s="9" t="str">
        <f>HYPERLINK("https://twitter.com/VanneTzB/status/1354129877650317313","1354129877650317313")</f>
        <v>1354129877650317313</v>
      </c>
      <c r="F34" s="11"/>
      <c r="G34" s="11"/>
      <c r="H34" s="11"/>
      <c r="I34" s="13">
        <v>0.0</v>
      </c>
      <c r="J34" s="13">
        <v>1.0</v>
      </c>
      <c r="K34" s="9" t="str">
        <f t="shared" si="6"/>
        <v>Twitter for Android</v>
      </c>
      <c r="L34" s="14">
        <v>268.0</v>
      </c>
      <c r="M34" s="14">
        <v>1392.0</v>
      </c>
      <c r="N34" s="14">
        <v>2.0</v>
      </c>
      <c r="O34" s="15"/>
      <c r="P34" s="16">
        <v>40964.44025462963</v>
      </c>
      <c r="Q34" s="10" t="s">
        <v>1064</v>
      </c>
      <c r="R34" s="10" t="s">
        <v>1065</v>
      </c>
      <c r="S34" s="11"/>
      <c r="T34" s="11"/>
      <c r="U34" s="17" t="str">
        <f>HYPERLINK("https://pbs.twimg.com/profile_images/1337878202329415681/xVQXHREW.jpg","View")</f>
        <v>View</v>
      </c>
      <c r="V34" s="11"/>
      <c r="W34" s="11"/>
      <c r="X34" s="11"/>
      <c r="Y34" s="11"/>
      <c r="Z34" s="11"/>
    </row>
    <row r="35">
      <c r="A35" s="8">
        <v>44222.42052083333</v>
      </c>
      <c r="B35" s="9" t="str">
        <f>HYPERLINK("https://twitter.com/joonstorm","@joonstorm")</f>
        <v>@joonstorm</v>
      </c>
      <c r="C35" s="10" t="s">
        <v>1066</v>
      </c>
      <c r="D35" s="10" t="s">
        <v>1067</v>
      </c>
      <c r="E35" s="9" t="str">
        <f>HYPERLINK("https://twitter.com/joonstorm/status/1354128355633860608","1354128355633860608")</f>
        <v>1354128355633860608</v>
      </c>
      <c r="F35" s="11"/>
      <c r="G35" s="11"/>
      <c r="H35" s="11"/>
      <c r="I35" s="13">
        <v>1.0</v>
      </c>
      <c r="J35" s="13">
        <v>1.0</v>
      </c>
      <c r="K35" s="9" t="str">
        <f>HYPERLINK("https://mobile.twitter.com","Twitter Web App")</f>
        <v>Twitter Web App</v>
      </c>
      <c r="L35" s="14">
        <v>691.0</v>
      </c>
      <c r="M35" s="14">
        <v>889.0</v>
      </c>
      <c r="N35" s="14">
        <v>6.0</v>
      </c>
      <c r="O35" s="15"/>
      <c r="P35" s="16">
        <v>43262.53974537037</v>
      </c>
      <c r="Q35" s="10" t="s">
        <v>1068</v>
      </c>
      <c r="R35" s="10" t="s">
        <v>1069</v>
      </c>
      <c r="S35" s="12" t="s">
        <v>1070</v>
      </c>
      <c r="T35" s="11"/>
      <c r="U35" s="17" t="str">
        <f>HYPERLINK("https://pbs.twimg.com/profile_images/1339987464698667009/OfBWg-hR.jpg","View")</f>
        <v>View</v>
      </c>
      <c r="V35" s="11"/>
      <c r="W35" s="11"/>
      <c r="X35" s="11"/>
      <c r="Y35" s="11"/>
      <c r="Z35" s="11"/>
    </row>
    <row r="36">
      <c r="A36" s="8">
        <v>44222.41799768519</v>
      </c>
      <c r="B36" s="9" t="str">
        <f>HYPERLINK("https://twitter.com/Fernanditol_","@Fernanditol_")</f>
        <v>@Fernanditol_</v>
      </c>
      <c r="C36" s="10" t="s">
        <v>1071</v>
      </c>
      <c r="D36" s="10" t="s">
        <v>1072</v>
      </c>
      <c r="E36" s="9" t="str">
        <f>HYPERLINK("https://twitter.com/Fernanditol_/status/1354127444920442880","1354127444920442880")</f>
        <v>1354127444920442880</v>
      </c>
      <c r="F36" s="11"/>
      <c r="G36" s="11"/>
      <c r="H36" s="11"/>
      <c r="I36" s="13">
        <v>0.0</v>
      </c>
      <c r="J36" s="13">
        <v>0.0</v>
      </c>
      <c r="K36" s="9" t="str">
        <f t="shared" ref="K36:K38" si="7">HYPERLINK("http://twitter.com/download/android","Twitter for Android")</f>
        <v>Twitter for Android</v>
      </c>
      <c r="L36" s="14">
        <v>3.0</v>
      </c>
      <c r="M36" s="14">
        <v>53.0</v>
      </c>
      <c r="N36" s="14">
        <v>0.0</v>
      </c>
      <c r="O36" s="15"/>
      <c r="P36" s="16">
        <v>44152.756736111114</v>
      </c>
      <c r="Q36" s="10" t="s">
        <v>1073</v>
      </c>
      <c r="R36" s="10" t="s">
        <v>1074</v>
      </c>
      <c r="S36" s="12" t="s">
        <v>1075</v>
      </c>
      <c r="T36" s="11"/>
      <c r="U36" s="17" t="str">
        <f>HYPERLINK("https://pbs.twimg.com/profile_images/1350653177243303940/UuxMWhjJ.jpg","View")</f>
        <v>View</v>
      </c>
      <c r="V36" s="11"/>
      <c r="W36" s="11"/>
      <c r="X36" s="11"/>
      <c r="Y36" s="11"/>
      <c r="Z36" s="11"/>
    </row>
    <row r="37">
      <c r="A37" s="8">
        <v>44222.417442129634</v>
      </c>
      <c r="B37" s="9" t="str">
        <f>HYPERLINK("https://twitter.com/IvPajarito","@IvPajarito")</f>
        <v>@IvPajarito</v>
      </c>
      <c r="C37" s="10" t="s">
        <v>1076</v>
      </c>
      <c r="D37" s="10" t="s">
        <v>1077</v>
      </c>
      <c r="E37" s="9" t="str">
        <f>HYPERLINK("https://twitter.com/IvPajarito/status/1354127239638642690","1354127239638642690")</f>
        <v>1354127239638642690</v>
      </c>
      <c r="F37" s="12" t="s">
        <v>1078</v>
      </c>
      <c r="G37" s="11"/>
      <c r="H37" s="11"/>
      <c r="I37" s="13">
        <v>1.0</v>
      </c>
      <c r="J37" s="13">
        <v>0.0</v>
      </c>
      <c r="K37" s="9" t="str">
        <f t="shared" si="7"/>
        <v>Twitter for Android</v>
      </c>
      <c r="L37" s="14">
        <v>2370.0</v>
      </c>
      <c r="M37" s="14">
        <v>3771.0</v>
      </c>
      <c r="N37" s="14">
        <v>1.0</v>
      </c>
      <c r="O37" s="15"/>
      <c r="P37" s="16">
        <v>44121.32834490741</v>
      </c>
      <c r="Q37" s="11"/>
      <c r="R37" s="10" t="s">
        <v>1079</v>
      </c>
      <c r="S37" s="11"/>
      <c r="T37" s="11"/>
      <c r="U37" s="17" t="str">
        <f>HYPERLINK("https://pbs.twimg.com/profile_images/1318090849889230848/VeFf9G9x.jpg","View")</f>
        <v>View</v>
      </c>
      <c r="V37" s="11"/>
      <c r="W37" s="11"/>
      <c r="X37" s="11"/>
      <c r="Y37" s="11"/>
      <c r="Z37" s="11"/>
    </row>
    <row r="38">
      <c r="A38" s="8">
        <v>44222.413981481484</v>
      </c>
      <c r="B38" s="9" t="str">
        <f>HYPERLINK("https://twitter.com/YUCEAN0095","@YUCEAN0095")</f>
        <v>@YUCEAN0095</v>
      </c>
      <c r="C38" s="10" t="s">
        <v>1080</v>
      </c>
      <c r="D38" s="10" t="s">
        <v>1081</v>
      </c>
      <c r="E38" s="9" t="str">
        <f>HYPERLINK("https://twitter.com/YUCEAN0095/status/1354125987567591429","1354125987567591429")</f>
        <v>1354125987567591429</v>
      </c>
      <c r="F38" s="11"/>
      <c r="G38" s="11"/>
      <c r="H38" s="11"/>
      <c r="I38" s="13">
        <v>0.0</v>
      </c>
      <c r="J38" s="13">
        <v>0.0</v>
      </c>
      <c r="K38" s="9" t="str">
        <f t="shared" si="7"/>
        <v>Twitter for Android</v>
      </c>
      <c r="L38" s="14">
        <v>939.0</v>
      </c>
      <c r="M38" s="14">
        <v>824.0</v>
      </c>
      <c r="N38" s="14">
        <v>13.0</v>
      </c>
      <c r="O38" s="15"/>
      <c r="P38" s="16">
        <v>43860.79400462963</v>
      </c>
      <c r="Q38" s="10" t="s">
        <v>1082</v>
      </c>
      <c r="R38" s="10" t="s">
        <v>1083</v>
      </c>
      <c r="S38" s="12" t="s">
        <v>1084</v>
      </c>
      <c r="T38" s="11"/>
      <c r="U38" s="17" t="str">
        <f>HYPERLINK("https://pbs.twimg.com/profile_images/1353932040295641089/s_9WC6P7.jpg","View")</f>
        <v>View</v>
      </c>
      <c r="V38" s="11"/>
      <c r="W38" s="11"/>
      <c r="X38" s="11"/>
      <c r="Y38" s="11"/>
      <c r="Z38" s="11"/>
    </row>
    <row r="39">
      <c r="A39" s="8">
        <v>44222.395636574074</v>
      </c>
      <c r="B39" s="9" t="str">
        <f>HYPERLINK("https://twitter.com/LibertyPatriot8","@LibertyPatriot8")</f>
        <v>@LibertyPatriot8</v>
      </c>
      <c r="C39" s="10" t="s">
        <v>1085</v>
      </c>
      <c r="D39" s="10" t="s">
        <v>1086</v>
      </c>
      <c r="E39" s="9" t="str">
        <f>HYPERLINK("https://twitter.com/LibertyPatriot8/status/1354119338387767303","1354119338387767303")</f>
        <v>1354119338387767303</v>
      </c>
      <c r="F39" s="11"/>
      <c r="G39" s="12" t="s">
        <v>1087</v>
      </c>
      <c r="H39" s="11"/>
      <c r="I39" s="13">
        <v>0.0</v>
      </c>
      <c r="J39" s="13">
        <v>2.0</v>
      </c>
      <c r="K39" s="9" t="str">
        <f>HYPERLINK("http://twitter.com/download/iphone","Twitter for iPhone")</f>
        <v>Twitter for iPhone</v>
      </c>
      <c r="L39" s="14">
        <v>187.0</v>
      </c>
      <c r="M39" s="14">
        <v>417.0</v>
      </c>
      <c r="N39" s="14">
        <v>1.0</v>
      </c>
      <c r="O39" s="15"/>
      <c r="P39" s="16">
        <v>43275.59886574074</v>
      </c>
      <c r="Q39" s="11"/>
      <c r="R39" s="10" t="s">
        <v>1088</v>
      </c>
      <c r="S39" s="11"/>
      <c r="T39" s="11"/>
      <c r="U39" s="17" t="str">
        <f>HYPERLINK("https://pbs.twimg.com/profile_images/1336794363612061698/WhKmjSyv.jpg","View")</f>
        <v>View</v>
      </c>
      <c r="V39" s="11"/>
      <c r="W39" s="11"/>
      <c r="X39" s="11"/>
      <c r="Y39" s="11"/>
      <c r="Z39" s="11"/>
    </row>
    <row r="40">
      <c r="A40" s="8">
        <v>44222.395104166666</v>
      </c>
      <c r="B40" s="9" t="str">
        <f>HYPERLINK("https://twitter.com/Elenagrivv","@Elenagrivv")</f>
        <v>@Elenagrivv</v>
      </c>
      <c r="C40" s="10" t="s">
        <v>1089</v>
      </c>
      <c r="D40" s="10" t="s">
        <v>1090</v>
      </c>
      <c r="E40" s="9" t="str">
        <f>HYPERLINK("https://twitter.com/Elenagrivv/status/1354119147345633281","1354119147345633281")</f>
        <v>1354119147345633281</v>
      </c>
      <c r="F40" s="12" t="s">
        <v>1091</v>
      </c>
      <c r="G40" s="11"/>
      <c r="H40" s="11"/>
      <c r="I40" s="13">
        <v>0.0</v>
      </c>
      <c r="J40" s="13">
        <v>1.0</v>
      </c>
      <c r="K40" s="9" t="str">
        <f t="shared" ref="K40:K48" si="8">HYPERLINK("http://twitter.com/download/android","Twitter for Android")</f>
        <v>Twitter for Android</v>
      </c>
      <c r="L40" s="14">
        <v>540.0</v>
      </c>
      <c r="M40" s="14">
        <v>387.0</v>
      </c>
      <c r="N40" s="14">
        <v>2.0</v>
      </c>
      <c r="O40" s="15"/>
      <c r="P40" s="16">
        <v>40881.32304398148</v>
      </c>
      <c r="Q40" s="10" t="s">
        <v>1092</v>
      </c>
      <c r="R40" s="10" t="s">
        <v>1093</v>
      </c>
      <c r="S40" s="11"/>
      <c r="T40" s="11"/>
      <c r="U40" s="17" t="str">
        <f>HYPERLINK("https://pbs.twimg.com/profile_images/1350870391988879366/nfp5-fE6.jpg","View")</f>
        <v>View</v>
      </c>
      <c r="V40" s="11"/>
      <c r="W40" s="11"/>
      <c r="X40" s="11"/>
      <c r="Y40" s="11"/>
      <c r="Z40" s="11"/>
    </row>
    <row r="41">
      <c r="A41" s="8">
        <v>44222.394791666666</v>
      </c>
      <c r="B41" s="9" t="str">
        <f>HYPERLINK("https://twitter.com/sodioespos","@sodioespos")</f>
        <v>@sodioespos</v>
      </c>
      <c r="C41" s="10" t="s">
        <v>1094</v>
      </c>
      <c r="D41" s="10" t="s">
        <v>1095</v>
      </c>
      <c r="E41" s="9" t="str">
        <f>HYPERLINK("https://twitter.com/sodioespos/status/1354119033294114819","1354119033294114819")</f>
        <v>1354119033294114819</v>
      </c>
      <c r="F41" s="11"/>
      <c r="G41" s="11"/>
      <c r="H41" s="11"/>
      <c r="I41" s="13">
        <v>0.0</v>
      </c>
      <c r="J41" s="13">
        <v>8.0</v>
      </c>
      <c r="K41" s="9" t="str">
        <f t="shared" si="8"/>
        <v>Twitter for Android</v>
      </c>
      <c r="L41" s="14">
        <v>910.0</v>
      </c>
      <c r="M41" s="14">
        <v>579.0</v>
      </c>
      <c r="N41" s="14">
        <v>17.0</v>
      </c>
      <c r="O41" s="15"/>
      <c r="P41" s="16">
        <v>43906.982569444444</v>
      </c>
      <c r="Q41" s="10" t="s">
        <v>1096</v>
      </c>
      <c r="R41" s="10" t="s">
        <v>1097</v>
      </c>
      <c r="S41" s="12" t="s">
        <v>1098</v>
      </c>
      <c r="T41" s="11"/>
      <c r="U41" s="17" t="str">
        <f>HYPERLINK("https://pbs.twimg.com/profile_images/1352366866807853058/B0OC6mMD.jpg","View")</f>
        <v>View</v>
      </c>
      <c r="V41" s="11"/>
      <c r="W41" s="11"/>
      <c r="X41" s="11"/>
      <c r="Y41" s="11"/>
      <c r="Z41" s="11"/>
    </row>
    <row r="42">
      <c r="A42" s="8">
        <v>44222.37484953704</v>
      </c>
      <c r="B42" s="9" t="str">
        <f>HYPERLINK("https://twitter.com/V4Nangel","@V4Nangel")</f>
        <v>@V4Nangel</v>
      </c>
      <c r="C42" s="10" t="s">
        <v>416</v>
      </c>
      <c r="D42" s="10" t="s">
        <v>417</v>
      </c>
      <c r="E42" s="9" t="str">
        <f>HYPERLINK("https://twitter.com/V4Nangel/status/1354111807045177347","1354111807045177347")</f>
        <v>1354111807045177347</v>
      </c>
      <c r="F42" s="11"/>
      <c r="G42" s="11"/>
      <c r="H42" s="11"/>
      <c r="I42" s="13">
        <v>0.0</v>
      </c>
      <c r="J42" s="13">
        <v>0.0</v>
      </c>
      <c r="K42" s="9" t="str">
        <f t="shared" si="8"/>
        <v>Twitter for Android</v>
      </c>
      <c r="L42" s="14">
        <v>6.0</v>
      </c>
      <c r="M42" s="14">
        <v>70.0</v>
      </c>
      <c r="N42" s="14">
        <v>0.0</v>
      </c>
      <c r="O42" s="15"/>
      <c r="P42" s="16">
        <v>44195.48846064815</v>
      </c>
      <c r="Q42" s="10" t="s">
        <v>418</v>
      </c>
      <c r="R42" s="10" t="s">
        <v>419</v>
      </c>
      <c r="S42" s="12" t="s">
        <v>420</v>
      </c>
      <c r="T42" s="11"/>
      <c r="U42" s="17" t="str">
        <f>HYPERLINK("https://pbs.twimg.com/profile_images/1344368578846470145/Pc_qY0VM.jpg","View")</f>
        <v>View</v>
      </c>
      <c r="V42" s="11"/>
      <c r="W42" s="11"/>
      <c r="X42" s="11"/>
      <c r="Y42" s="11"/>
      <c r="Z42" s="11"/>
    </row>
    <row r="43">
      <c r="A43" s="8">
        <v>44222.37329861111</v>
      </c>
      <c r="B43" s="9" t="str">
        <f>HYPERLINK("https://twitter.com/recheisbay","@recheisbay")</f>
        <v>@recheisbay</v>
      </c>
      <c r="C43" s="10" t="s">
        <v>1099</v>
      </c>
      <c r="D43" s="10" t="s">
        <v>1100</v>
      </c>
      <c r="E43" s="9" t="str">
        <f>HYPERLINK("https://twitter.com/recheisbay/status/1354111245608247297","1354111245608247297")</f>
        <v>1354111245608247297</v>
      </c>
      <c r="F43" s="12" t="s">
        <v>1101</v>
      </c>
      <c r="G43" s="11"/>
      <c r="H43" s="11"/>
      <c r="I43" s="13">
        <v>0.0</v>
      </c>
      <c r="J43" s="13">
        <v>3.0</v>
      </c>
      <c r="K43" s="9" t="str">
        <f t="shared" si="8"/>
        <v>Twitter for Android</v>
      </c>
      <c r="L43" s="14">
        <v>1582.0</v>
      </c>
      <c r="M43" s="14">
        <v>1353.0</v>
      </c>
      <c r="N43" s="14">
        <v>34.0</v>
      </c>
      <c r="O43" s="15"/>
      <c r="P43" s="16">
        <v>43827.52355324074</v>
      </c>
      <c r="Q43" s="11"/>
      <c r="R43" s="10" t="s">
        <v>1102</v>
      </c>
      <c r="S43" s="11"/>
      <c r="T43" s="11"/>
      <c r="U43" s="17" t="str">
        <f>HYPERLINK("https://pbs.twimg.com/profile_images/1353350531440386049/2hoRoWzr.jpg","View")</f>
        <v>View</v>
      </c>
      <c r="V43" s="11"/>
      <c r="W43" s="11"/>
      <c r="X43" s="11"/>
      <c r="Y43" s="11"/>
      <c r="Z43" s="11"/>
    </row>
    <row r="44">
      <c r="A44" s="8">
        <v>44222.37287037037</v>
      </c>
      <c r="B44" s="9" t="str">
        <f>HYPERLINK("https://twitter.com/cafeinomanoX","@cafeinomanoX")</f>
        <v>@cafeinomanoX</v>
      </c>
      <c r="C44" s="10" t="s">
        <v>421</v>
      </c>
      <c r="D44" s="10" t="s">
        <v>422</v>
      </c>
      <c r="E44" s="9" t="str">
        <f>HYPERLINK("https://twitter.com/cafeinomanoX/status/1354111087474585612","1354111087474585612")</f>
        <v>1354111087474585612</v>
      </c>
      <c r="F44" s="12" t="s">
        <v>423</v>
      </c>
      <c r="G44" s="12" t="s">
        <v>424</v>
      </c>
      <c r="H44" s="11"/>
      <c r="I44" s="13">
        <v>0.0</v>
      </c>
      <c r="J44" s="13">
        <v>2.0</v>
      </c>
      <c r="K44" s="9" t="str">
        <f t="shared" si="8"/>
        <v>Twitter for Android</v>
      </c>
      <c r="L44" s="14">
        <v>1084.0</v>
      </c>
      <c r="M44" s="14">
        <v>1085.0</v>
      </c>
      <c r="N44" s="14">
        <v>0.0</v>
      </c>
      <c r="O44" s="15"/>
      <c r="P44" s="16">
        <v>42233.071284722224</v>
      </c>
      <c r="Q44" s="10" t="s">
        <v>425</v>
      </c>
      <c r="R44" s="10" t="s">
        <v>426</v>
      </c>
      <c r="S44" s="11"/>
      <c r="T44" s="11"/>
      <c r="U44" s="17" t="str">
        <f>HYPERLINK("https://pbs.twimg.com/profile_images/1353343567171883009/0X1kCweo.jpg","View")</f>
        <v>View</v>
      </c>
      <c r="V44" s="11"/>
      <c r="W44" s="11"/>
      <c r="X44" s="11"/>
      <c r="Y44" s="11"/>
      <c r="Z44" s="11"/>
    </row>
    <row r="45">
      <c r="A45" s="8">
        <v>44222.371932870374</v>
      </c>
      <c r="B45" s="9" t="str">
        <f>HYPERLINK("https://twitter.com/Noone1313131313","@Noone1313131313")</f>
        <v>@Noone1313131313</v>
      </c>
      <c r="C45" s="10" t="s">
        <v>1103</v>
      </c>
      <c r="D45" s="10" t="s">
        <v>1104</v>
      </c>
      <c r="E45" s="9" t="str">
        <f>HYPERLINK("https://twitter.com/Noone1313131313/status/1354110750902657027","1354110750902657027")</f>
        <v>1354110750902657027</v>
      </c>
      <c r="F45" s="11"/>
      <c r="G45" s="11"/>
      <c r="H45" s="11"/>
      <c r="I45" s="13">
        <v>0.0</v>
      </c>
      <c r="J45" s="13">
        <v>0.0</v>
      </c>
      <c r="K45" s="9" t="str">
        <f t="shared" si="8"/>
        <v>Twitter for Android</v>
      </c>
      <c r="L45" s="14">
        <v>0.0</v>
      </c>
      <c r="M45" s="14">
        <v>12.0</v>
      </c>
      <c r="N45" s="14">
        <v>0.0</v>
      </c>
      <c r="O45" s="15"/>
      <c r="P45" s="16">
        <v>43667.46791666667</v>
      </c>
      <c r="Q45" s="11"/>
      <c r="R45" s="10" t="s">
        <v>1105</v>
      </c>
      <c r="S45" s="11"/>
      <c r="T45" s="11"/>
      <c r="U45" s="19" t="s">
        <v>1106</v>
      </c>
      <c r="V45" s="11"/>
      <c r="W45" s="11"/>
      <c r="X45" s="11"/>
      <c r="Y45" s="11"/>
      <c r="Z45" s="11"/>
    </row>
    <row r="46">
      <c r="A46" s="8">
        <v>44222.371712962966</v>
      </c>
      <c r="B46" s="9" t="str">
        <f>HYPERLINK("https://twitter.com/NasiRespetador","@NasiRespetador")</f>
        <v>@NasiRespetador</v>
      </c>
      <c r="C46" s="10" t="s">
        <v>1107</v>
      </c>
      <c r="D46" s="10" t="s">
        <v>1108</v>
      </c>
      <c r="E46" s="9" t="str">
        <f>HYPERLINK("https://twitter.com/NasiRespetador/status/1354110669369585664","1354110669369585664")</f>
        <v>1354110669369585664</v>
      </c>
      <c r="F46" s="12" t="s">
        <v>1109</v>
      </c>
      <c r="G46" s="12" t="s">
        <v>1110</v>
      </c>
      <c r="H46" s="11"/>
      <c r="I46" s="13">
        <v>0.0</v>
      </c>
      <c r="J46" s="13">
        <v>1.0</v>
      </c>
      <c r="K46" s="9" t="str">
        <f t="shared" si="8"/>
        <v>Twitter for Android</v>
      </c>
      <c r="L46" s="14">
        <v>183.0</v>
      </c>
      <c r="M46" s="14">
        <v>89.0</v>
      </c>
      <c r="N46" s="14">
        <v>0.0</v>
      </c>
      <c r="O46" s="15"/>
      <c r="P46" s="16">
        <v>44210.673784722225</v>
      </c>
      <c r="Q46" s="11"/>
      <c r="R46" s="10" t="s">
        <v>1111</v>
      </c>
      <c r="S46" s="11"/>
      <c r="T46" s="11"/>
      <c r="U46" s="17" t="str">
        <f>HYPERLINK("https://pbs.twimg.com/profile_images/1349885298650603527/SAY1n2r6.jpg","View")</f>
        <v>View</v>
      </c>
      <c r="V46" s="11"/>
      <c r="W46" s="11"/>
      <c r="X46" s="11"/>
      <c r="Y46" s="11"/>
      <c r="Z46" s="11"/>
    </row>
    <row r="47">
      <c r="A47" s="8">
        <v>44222.36761574074</v>
      </c>
      <c r="B47" s="9" t="str">
        <f>HYPERLINK("https://twitter.com/auragaay","@auragaay")</f>
        <v>@auragaay</v>
      </c>
      <c r="C47" s="10" t="s">
        <v>1112</v>
      </c>
      <c r="D47" s="10" t="s">
        <v>1113</v>
      </c>
      <c r="E47" s="9" t="str">
        <f>HYPERLINK("https://twitter.com/auragaay/status/1354109184682446848","1354109184682446848")</f>
        <v>1354109184682446848</v>
      </c>
      <c r="F47" s="11"/>
      <c r="G47" s="12" t="s">
        <v>1114</v>
      </c>
      <c r="H47" s="11"/>
      <c r="I47" s="13">
        <v>0.0</v>
      </c>
      <c r="J47" s="13">
        <v>3.0</v>
      </c>
      <c r="K47" s="9" t="str">
        <f t="shared" si="8"/>
        <v>Twitter for Android</v>
      </c>
      <c r="L47" s="14">
        <v>124.0</v>
      </c>
      <c r="M47" s="14">
        <v>195.0</v>
      </c>
      <c r="N47" s="14">
        <v>0.0</v>
      </c>
      <c r="O47" s="15"/>
      <c r="P47" s="16">
        <v>43852.687627314815</v>
      </c>
      <c r="Q47" s="10" t="s">
        <v>1115</v>
      </c>
      <c r="R47" s="10" t="s">
        <v>1116</v>
      </c>
      <c r="S47" s="11"/>
      <c r="T47" s="11"/>
      <c r="U47" s="17" t="str">
        <f>HYPERLINK("https://pbs.twimg.com/profile_images/1340155418245558273/rr2uRGOJ.jpg","View")</f>
        <v>View</v>
      </c>
      <c r="V47" s="11"/>
      <c r="W47" s="11"/>
      <c r="X47" s="11"/>
      <c r="Y47" s="11"/>
      <c r="Z47" s="11"/>
    </row>
    <row r="48">
      <c r="A48" s="8">
        <v>44222.365393518514</v>
      </c>
      <c r="B48" s="9" t="str">
        <f>HYPERLINK("https://twitter.com/jesusete454","@jesusete454")</f>
        <v>@jesusete454</v>
      </c>
      <c r="C48" s="10" t="s">
        <v>427</v>
      </c>
      <c r="D48" s="10" t="s">
        <v>428</v>
      </c>
      <c r="E48" s="9" t="str">
        <f>HYPERLINK("https://twitter.com/jesusete454/status/1354108378872770561","1354108378872770561")</f>
        <v>1354108378872770561</v>
      </c>
      <c r="F48" s="10" t="s">
        <v>429</v>
      </c>
      <c r="G48" s="11"/>
      <c r="H48" s="11"/>
      <c r="I48" s="13">
        <v>0.0</v>
      </c>
      <c r="J48" s="13">
        <v>0.0</v>
      </c>
      <c r="K48" s="9" t="str">
        <f t="shared" si="8"/>
        <v>Twitter for Android</v>
      </c>
      <c r="L48" s="14">
        <v>673.0</v>
      </c>
      <c r="M48" s="14">
        <v>878.0</v>
      </c>
      <c r="N48" s="14">
        <v>12.0</v>
      </c>
      <c r="O48" s="15"/>
      <c r="P48" s="16">
        <v>41298.19335648148</v>
      </c>
      <c r="Q48" s="11"/>
      <c r="R48" s="11"/>
      <c r="S48" s="11"/>
      <c r="T48" s="11"/>
      <c r="U48" s="17" t="str">
        <f>HYPERLINK("https://pbs.twimg.com/profile_images/3156568513/11b160fc4b7e85b6ccabe136a703118f.jpeg","View")</f>
        <v>View</v>
      </c>
      <c r="V48" s="11"/>
      <c r="W48" s="11"/>
      <c r="X48" s="11"/>
      <c r="Y48" s="11"/>
      <c r="Z48" s="11"/>
    </row>
    <row r="49">
      <c r="A49" s="8">
        <v>44222.365277777775</v>
      </c>
      <c r="B49" s="9" t="str">
        <f>HYPERLINK("https://twitter.com/ElPreso2Ok","@ElPreso2Ok")</f>
        <v>@ElPreso2Ok</v>
      </c>
      <c r="C49" s="10" t="s">
        <v>430</v>
      </c>
      <c r="D49" s="10" t="s">
        <v>431</v>
      </c>
      <c r="E49" s="9" t="str">
        <f>HYPERLINK("https://twitter.com/ElPreso2Ok/status/1354108338460614657","1354108338460614657")</f>
        <v>1354108338460614657</v>
      </c>
      <c r="F49" s="11"/>
      <c r="G49" s="11"/>
      <c r="H49" s="11"/>
      <c r="I49" s="13">
        <v>1.0</v>
      </c>
      <c r="J49" s="13">
        <v>1.0</v>
      </c>
      <c r="K49" s="9" t="str">
        <f>HYPERLINK("https://mobile.twitter.com","Twitter Web App")</f>
        <v>Twitter Web App</v>
      </c>
      <c r="L49" s="14">
        <v>169.0</v>
      </c>
      <c r="M49" s="14">
        <v>271.0</v>
      </c>
      <c r="N49" s="14">
        <v>0.0</v>
      </c>
      <c r="O49" s="15"/>
      <c r="P49" s="16">
        <v>43719.61622685185</v>
      </c>
      <c r="Q49" s="10" t="s">
        <v>432</v>
      </c>
      <c r="R49" s="10" t="s">
        <v>433</v>
      </c>
      <c r="S49" s="11"/>
      <c r="T49" s="11"/>
      <c r="U49" s="17" t="str">
        <f>HYPERLINK("https://pbs.twimg.com/profile_images/1304130841266786305/h3V0egUj.jpg","View")</f>
        <v>View</v>
      </c>
      <c r="V49" s="11"/>
      <c r="W49" s="11"/>
      <c r="X49" s="11"/>
      <c r="Y49" s="11"/>
      <c r="Z49" s="11"/>
    </row>
    <row r="50">
      <c r="A50" s="8">
        <v>44222.363182870366</v>
      </c>
      <c r="B50" s="9" t="str">
        <f>HYPERLINK("https://twitter.com/Cristian32602","@Cristian32602")</f>
        <v>@Cristian32602</v>
      </c>
      <c r="C50" s="10" t="s">
        <v>1117</v>
      </c>
      <c r="D50" s="10" t="s">
        <v>1118</v>
      </c>
      <c r="E50" s="9" t="str">
        <f>HYPERLINK("https://twitter.com/Cristian32602/status/1354107579891331073","1354107579891331073")</f>
        <v>1354107579891331073</v>
      </c>
      <c r="F50" s="11"/>
      <c r="G50" s="11"/>
      <c r="H50" s="11"/>
      <c r="I50" s="13">
        <v>0.0</v>
      </c>
      <c r="J50" s="13">
        <v>1.0</v>
      </c>
      <c r="K50" s="9" t="str">
        <f>HYPERLINK("http://twitter.com/download/android","Twitter for Android")</f>
        <v>Twitter for Android</v>
      </c>
      <c r="L50" s="14">
        <v>34.0</v>
      </c>
      <c r="M50" s="14">
        <v>192.0</v>
      </c>
      <c r="N50" s="14">
        <v>0.0</v>
      </c>
      <c r="O50" s="15"/>
      <c r="P50" s="16">
        <v>40356.517858796295</v>
      </c>
      <c r="Q50" s="10" t="s">
        <v>1119</v>
      </c>
      <c r="R50" s="11"/>
      <c r="S50" s="11"/>
      <c r="T50" s="11"/>
      <c r="U50" s="17" t="str">
        <f>HYPERLINK("https://pbs.twimg.com/profile_images/1341755613815181312/9oxl86vH.jpg","View")</f>
        <v>View</v>
      </c>
      <c r="V50" s="11"/>
      <c r="W50" s="11"/>
      <c r="X50" s="11"/>
      <c r="Y50" s="11"/>
      <c r="Z50" s="11"/>
    </row>
    <row r="51">
      <c r="A51" s="8">
        <v>44222.36104166666</v>
      </c>
      <c r="B51" s="9" t="str">
        <f>HYPERLINK("https://twitter.com/ughcarloss","@ughcarloss")</f>
        <v>@ughcarloss</v>
      </c>
      <c r="C51" s="10" t="s">
        <v>1120</v>
      </c>
      <c r="D51" s="10" t="s">
        <v>1121</v>
      </c>
      <c r="E51" s="9" t="str">
        <f>HYPERLINK("https://twitter.com/ughcarloss/status/1354106803760603143","1354106803760603143")</f>
        <v>1354106803760603143</v>
      </c>
      <c r="F51" s="11"/>
      <c r="G51" s="11"/>
      <c r="H51" s="11"/>
      <c r="I51" s="13">
        <v>0.0</v>
      </c>
      <c r="J51" s="13">
        <v>0.0</v>
      </c>
      <c r="K51" s="9" t="str">
        <f>HYPERLINK("http://twitter.com/download/iphone","Twitter for iPhone")</f>
        <v>Twitter for iPhone</v>
      </c>
      <c r="L51" s="14">
        <v>196.0</v>
      </c>
      <c r="M51" s="14">
        <v>409.0</v>
      </c>
      <c r="N51" s="14">
        <v>0.0</v>
      </c>
      <c r="O51" s="15"/>
      <c r="P51" s="16">
        <v>43307.559583333335</v>
      </c>
      <c r="Q51" s="10" t="s">
        <v>1122</v>
      </c>
      <c r="R51" s="10" t="s">
        <v>1123</v>
      </c>
      <c r="S51" s="11"/>
      <c r="T51" s="11"/>
      <c r="U51" s="17" t="str">
        <f>HYPERLINK("https://pbs.twimg.com/profile_images/1349787529915072514/I1Pm1jvV.jpg","View")</f>
        <v>View</v>
      </c>
      <c r="V51" s="11"/>
      <c r="W51" s="11"/>
      <c r="X51" s="11"/>
      <c r="Y51" s="11"/>
      <c r="Z51" s="11"/>
    </row>
    <row r="52">
      <c r="A52" s="8">
        <v>44222.35582175926</v>
      </c>
      <c r="B52" s="9" t="str">
        <f>HYPERLINK("https://twitter.com/chijune_","@chijune_")</f>
        <v>@chijune_</v>
      </c>
      <c r="C52" s="10" t="s">
        <v>434</v>
      </c>
      <c r="D52" s="10" t="s">
        <v>435</v>
      </c>
      <c r="E52" s="9" t="str">
        <f>HYPERLINK("https://twitter.com/chijune_/status/1354104912976740364","1354104912976740364")</f>
        <v>1354104912976740364</v>
      </c>
      <c r="F52" s="12" t="s">
        <v>436</v>
      </c>
      <c r="G52" s="12" t="s">
        <v>437</v>
      </c>
      <c r="H52" s="11"/>
      <c r="I52" s="13">
        <v>0.0</v>
      </c>
      <c r="J52" s="13">
        <v>1.0</v>
      </c>
      <c r="K52" s="9" t="str">
        <f t="shared" ref="K52:K55" si="9">HYPERLINK("http://twitter.com/download/android","Twitter for Android")</f>
        <v>Twitter for Android</v>
      </c>
      <c r="L52" s="14">
        <v>479.0</v>
      </c>
      <c r="M52" s="14">
        <v>422.0</v>
      </c>
      <c r="N52" s="14">
        <v>8.0</v>
      </c>
      <c r="O52" s="15"/>
      <c r="P52" s="16">
        <v>44151.45483796296</v>
      </c>
      <c r="Q52" s="11"/>
      <c r="R52" s="10" t="s">
        <v>438</v>
      </c>
      <c r="S52" s="12" t="s">
        <v>439</v>
      </c>
      <c r="T52" s="11"/>
      <c r="U52" s="17" t="str">
        <f>HYPERLINK("https://pbs.twimg.com/profile_images/1352465819968614401/GKnbRnl9.jpg","View")</f>
        <v>View</v>
      </c>
      <c r="V52" s="11"/>
      <c r="W52" s="11"/>
      <c r="X52" s="11"/>
      <c r="Y52" s="11"/>
      <c r="Z52" s="11"/>
    </row>
    <row r="53">
      <c r="A53" s="8">
        <v>44222.354108796295</v>
      </c>
      <c r="B53" s="9" t="str">
        <f>HYPERLINK("https://twitter.com/AstarothReturns","@AstarothReturns")</f>
        <v>@AstarothReturns</v>
      </c>
      <c r="C53" s="10" t="s">
        <v>440</v>
      </c>
      <c r="D53" s="10" t="s">
        <v>441</v>
      </c>
      <c r="E53" s="9" t="str">
        <f>HYPERLINK("https://twitter.com/AstarothReturns/status/1354104288251936770","1354104288251936770")</f>
        <v>1354104288251936770</v>
      </c>
      <c r="F53" s="11"/>
      <c r="G53" s="12" t="s">
        <v>442</v>
      </c>
      <c r="H53" s="11"/>
      <c r="I53" s="13">
        <v>0.0</v>
      </c>
      <c r="J53" s="13">
        <v>4.0</v>
      </c>
      <c r="K53" s="9" t="str">
        <f t="shared" si="9"/>
        <v>Twitter for Android</v>
      </c>
      <c r="L53" s="14">
        <v>209.0</v>
      </c>
      <c r="M53" s="14">
        <v>149.0</v>
      </c>
      <c r="N53" s="14">
        <v>3.0</v>
      </c>
      <c r="O53" s="15"/>
      <c r="P53" s="16">
        <v>44081.20796296296</v>
      </c>
      <c r="Q53" s="10" t="s">
        <v>443</v>
      </c>
      <c r="R53" s="10" t="s">
        <v>444</v>
      </c>
      <c r="S53" s="11"/>
      <c r="T53" s="11"/>
      <c r="U53" s="17" t="str">
        <f>HYPERLINK("https://pbs.twimg.com/profile_images/1320537812261810176/H205KGEl.jpg","View")</f>
        <v>View</v>
      </c>
      <c r="V53" s="11"/>
      <c r="W53" s="11"/>
      <c r="X53" s="11"/>
      <c r="Y53" s="11"/>
      <c r="Z53" s="11"/>
    </row>
    <row r="54">
      <c r="A54" s="8">
        <v>44222.35070601852</v>
      </c>
      <c r="B54" s="9" t="str">
        <f>HYPERLINK("https://twitter.com/dennabarelli","@dennabarelli")</f>
        <v>@dennabarelli</v>
      </c>
      <c r="C54" s="10" t="s">
        <v>445</v>
      </c>
      <c r="D54" s="10" t="s">
        <v>446</v>
      </c>
      <c r="E54" s="9" t="str">
        <f>HYPERLINK("https://twitter.com/dennabarelli/status/1354103058125512707","1354103058125512707")</f>
        <v>1354103058125512707</v>
      </c>
      <c r="F54" s="12" t="s">
        <v>447</v>
      </c>
      <c r="G54" s="12" t="s">
        <v>448</v>
      </c>
      <c r="H54" s="11"/>
      <c r="I54" s="13">
        <v>0.0</v>
      </c>
      <c r="J54" s="13">
        <v>0.0</v>
      </c>
      <c r="K54" s="9" t="str">
        <f t="shared" si="9"/>
        <v>Twitter for Android</v>
      </c>
      <c r="L54" s="14">
        <v>548.0</v>
      </c>
      <c r="M54" s="14">
        <v>342.0</v>
      </c>
      <c r="N54" s="14">
        <v>0.0</v>
      </c>
      <c r="O54" s="15"/>
      <c r="P54" s="16">
        <v>40016.357719907406</v>
      </c>
      <c r="Q54" s="11"/>
      <c r="R54" s="10" t="s">
        <v>449</v>
      </c>
      <c r="S54" s="11"/>
      <c r="T54" s="11"/>
      <c r="U54" s="17" t="str">
        <f>HYPERLINK("https://pbs.twimg.com/profile_images/1349685247932297216/VMHJi2Xr.jpg","View")</f>
        <v>View</v>
      </c>
      <c r="V54" s="11"/>
      <c r="W54" s="11"/>
      <c r="X54" s="11"/>
      <c r="Y54" s="11"/>
      <c r="Z54" s="11"/>
    </row>
    <row r="55">
      <c r="A55" s="8">
        <v>44222.35068287037</v>
      </c>
      <c r="B55" s="9" t="str">
        <f>HYPERLINK("https://twitter.com/Ivonnepapa","@Ivonnepapa")</f>
        <v>@Ivonnepapa</v>
      </c>
      <c r="C55" s="10" t="s">
        <v>450</v>
      </c>
      <c r="D55" s="10" t="s">
        <v>451</v>
      </c>
      <c r="E55" s="9" t="str">
        <f>HYPERLINK("https://twitter.com/Ivonnepapa/status/1354103050202460161","1354103050202460161")</f>
        <v>1354103050202460161</v>
      </c>
      <c r="F55" s="12" t="s">
        <v>452</v>
      </c>
      <c r="G55" s="11"/>
      <c r="H55" s="11"/>
      <c r="I55" s="13">
        <v>2.0</v>
      </c>
      <c r="J55" s="13">
        <v>3.0</v>
      </c>
      <c r="K55" s="9" t="str">
        <f t="shared" si="9"/>
        <v>Twitter for Android</v>
      </c>
      <c r="L55" s="14">
        <v>523.0</v>
      </c>
      <c r="M55" s="14">
        <v>342.0</v>
      </c>
      <c r="N55" s="14">
        <v>2.0</v>
      </c>
      <c r="O55" s="15"/>
      <c r="P55" s="16">
        <v>41653.658055555556</v>
      </c>
      <c r="Q55" s="10" t="s">
        <v>453</v>
      </c>
      <c r="R55" s="10" t="s">
        <v>454</v>
      </c>
      <c r="S55" s="11"/>
      <c r="T55" s="11"/>
      <c r="U55" s="17" t="str">
        <f>HYPERLINK("https://pbs.twimg.com/profile_images/1353579204013682688/UvLHKGht.jpg","View")</f>
        <v>View</v>
      </c>
      <c r="V55" s="11"/>
      <c r="W55" s="11"/>
      <c r="X55" s="11"/>
      <c r="Y55" s="11"/>
      <c r="Z55" s="11"/>
    </row>
    <row r="56">
      <c r="A56" s="8">
        <v>44222.34917824074</v>
      </c>
      <c r="B56" s="9" t="str">
        <f>HYPERLINK("https://twitter.com/cjavier96","@cjavier96")</f>
        <v>@cjavier96</v>
      </c>
      <c r="C56" s="10" t="s">
        <v>455</v>
      </c>
      <c r="D56" s="10" t="s">
        <v>456</v>
      </c>
      <c r="E56" s="9" t="str">
        <f>HYPERLINK("https://twitter.com/cjavier96/status/1354102501621030912","1354102501621030912")</f>
        <v>1354102501621030912</v>
      </c>
      <c r="F56" s="12" t="s">
        <v>457</v>
      </c>
      <c r="G56" s="11"/>
      <c r="H56" s="11"/>
      <c r="I56" s="13">
        <v>0.0</v>
      </c>
      <c r="J56" s="13">
        <v>0.0</v>
      </c>
      <c r="K56" s="9" t="str">
        <f>HYPERLINK("https://mobile.twitter.com","Twitter Web App")</f>
        <v>Twitter Web App</v>
      </c>
      <c r="L56" s="14">
        <v>36.0</v>
      </c>
      <c r="M56" s="14">
        <v>967.0</v>
      </c>
      <c r="N56" s="14">
        <v>0.0</v>
      </c>
      <c r="O56" s="15"/>
      <c r="P56" s="16">
        <v>40035.60293981482</v>
      </c>
      <c r="Q56" s="10" t="s">
        <v>55</v>
      </c>
      <c r="R56" s="10" t="s">
        <v>458</v>
      </c>
      <c r="S56" s="11"/>
      <c r="T56" s="11"/>
      <c r="U56" s="17" t="str">
        <f>HYPERLINK("https://pbs.twimg.com/profile_images/872993242563846144/r5m3oYOX.jpg","View")</f>
        <v>View</v>
      </c>
      <c r="V56" s="11"/>
      <c r="W56" s="11"/>
      <c r="X56" s="11"/>
      <c r="Y56" s="11"/>
      <c r="Z56" s="11"/>
    </row>
    <row r="57">
      <c r="A57" s="8">
        <v>44222.34722222222</v>
      </c>
      <c r="B57" s="9" t="str">
        <f>HYPERLINK("https://twitter.com/TaegiDaegu95","@TaegiDaegu95")</f>
        <v>@TaegiDaegu95</v>
      </c>
      <c r="C57" s="10" t="s">
        <v>459</v>
      </c>
      <c r="D57" s="10" t="s">
        <v>460</v>
      </c>
      <c r="E57" s="9" t="str">
        <f>HYPERLINK("https://twitter.com/TaegiDaegu95/status/1354101795166027781","1354101795166027781")</f>
        <v>1354101795166027781</v>
      </c>
      <c r="F57" s="11"/>
      <c r="G57" s="11"/>
      <c r="H57" s="11"/>
      <c r="I57" s="13">
        <v>0.0</v>
      </c>
      <c r="J57" s="13">
        <v>0.0</v>
      </c>
      <c r="K57" s="9" t="str">
        <f t="shared" ref="K57:K60" si="10">HYPERLINK("http://twitter.com/download/android","Twitter for Android")</f>
        <v>Twitter for Android</v>
      </c>
      <c r="L57" s="14">
        <v>138.0</v>
      </c>
      <c r="M57" s="14">
        <v>519.0</v>
      </c>
      <c r="N57" s="14">
        <v>0.0</v>
      </c>
      <c r="O57" s="15"/>
      <c r="P57" s="16">
        <v>43509.79280092593</v>
      </c>
      <c r="Q57" s="10" t="s">
        <v>461</v>
      </c>
      <c r="R57" s="10" t="s">
        <v>462</v>
      </c>
      <c r="S57" s="12" t="s">
        <v>463</v>
      </c>
      <c r="T57" s="11"/>
      <c r="U57" s="17" t="str">
        <f>HYPERLINK("https://pbs.twimg.com/profile_images/1353544177435504642/gG3jfkwl.jpg","View")</f>
        <v>View</v>
      </c>
      <c r="V57" s="11"/>
      <c r="W57" s="11"/>
      <c r="X57" s="11"/>
      <c r="Y57" s="11"/>
      <c r="Z57" s="11"/>
    </row>
    <row r="58">
      <c r="A58" s="8">
        <v>44222.34414351852</v>
      </c>
      <c r="B58" s="9" t="str">
        <f>HYPERLINK("https://twitter.com/Hersheyslauren","@Hersheyslauren")</f>
        <v>@Hersheyslauren</v>
      </c>
      <c r="C58" s="10" t="s">
        <v>464</v>
      </c>
      <c r="D58" s="10" t="s">
        <v>465</v>
      </c>
      <c r="E58" s="9" t="str">
        <f>HYPERLINK("https://twitter.com/Hersheyslauren/status/1354100680651399175","1354100680651399175")</f>
        <v>1354100680651399175</v>
      </c>
      <c r="F58" s="11"/>
      <c r="G58" s="12" t="s">
        <v>466</v>
      </c>
      <c r="H58" s="11"/>
      <c r="I58" s="13">
        <v>0.0</v>
      </c>
      <c r="J58" s="13">
        <v>0.0</v>
      </c>
      <c r="K58" s="9" t="str">
        <f t="shared" si="10"/>
        <v>Twitter for Android</v>
      </c>
      <c r="L58" s="14">
        <v>411.0</v>
      </c>
      <c r="M58" s="14">
        <v>655.0</v>
      </c>
      <c r="N58" s="14">
        <v>5.0</v>
      </c>
      <c r="O58" s="15"/>
      <c r="P58" s="16">
        <v>41487.78344907407</v>
      </c>
      <c r="Q58" s="10" t="s">
        <v>467</v>
      </c>
      <c r="R58" s="10" t="s">
        <v>468</v>
      </c>
      <c r="S58" s="11"/>
      <c r="T58" s="11"/>
      <c r="U58" s="17" t="str">
        <f>HYPERLINK("https://pbs.twimg.com/profile_images/1344641126695895040/-zu6oGqi.jpg","View")</f>
        <v>View</v>
      </c>
      <c r="V58" s="11"/>
      <c r="W58" s="11"/>
      <c r="X58" s="11"/>
      <c r="Y58" s="11"/>
      <c r="Z58" s="11"/>
    </row>
    <row r="59">
      <c r="A59" s="8">
        <v>44222.343622685185</v>
      </c>
      <c r="B59" s="9" t="str">
        <f>HYPERLINK("https://twitter.com/t0myn4b074","@t0myn4b074")</f>
        <v>@t0myn4b074</v>
      </c>
      <c r="C59" s="10" t="s">
        <v>469</v>
      </c>
      <c r="D59" s="10" t="s">
        <v>470</v>
      </c>
      <c r="E59" s="9" t="str">
        <f>HYPERLINK("https://twitter.com/t0myn4b074/status/1354100488925491201","1354100488925491201")</f>
        <v>1354100488925491201</v>
      </c>
      <c r="F59" s="12" t="s">
        <v>471</v>
      </c>
      <c r="G59" s="11"/>
      <c r="H59" s="11"/>
      <c r="I59" s="13">
        <v>0.0</v>
      </c>
      <c r="J59" s="13">
        <v>1.0</v>
      </c>
      <c r="K59" s="9" t="str">
        <f t="shared" si="10"/>
        <v>Twitter for Android</v>
      </c>
      <c r="L59" s="14">
        <v>529.0</v>
      </c>
      <c r="M59" s="14">
        <v>764.0</v>
      </c>
      <c r="N59" s="14">
        <v>0.0</v>
      </c>
      <c r="O59" s="15"/>
      <c r="P59" s="16">
        <v>43980.619374999995</v>
      </c>
      <c r="Q59" s="11"/>
      <c r="R59" s="10" t="s">
        <v>472</v>
      </c>
      <c r="S59" s="11"/>
      <c r="T59" s="11"/>
      <c r="U59" s="17" t="str">
        <f>HYPERLINK("https://pbs.twimg.com/profile_images/1340839971989708802/g2fAtv9T.jpg","View")</f>
        <v>View</v>
      </c>
      <c r="V59" s="11"/>
      <c r="W59" s="11"/>
      <c r="X59" s="11"/>
      <c r="Y59" s="11"/>
      <c r="Z59" s="11"/>
    </row>
    <row r="60">
      <c r="A60" s="8">
        <v>44222.34354166666</v>
      </c>
      <c r="B60" s="9" t="str">
        <f>HYPERLINK("https://twitter.com/eilanswift","@eilanswift")</f>
        <v>@eilanswift</v>
      </c>
      <c r="C60" s="10" t="s">
        <v>1124</v>
      </c>
      <c r="D60" s="10" t="s">
        <v>1125</v>
      </c>
      <c r="E60" s="9" t="str">
        <f>HYPERLINK("https://twitter.com/eilanswift/status/1354100462350266368","1354100462350266368")</f>
        <v>1354100462350266368</v>
      </c>
      <c r="F60" s="12" t="s">
        <v>1126</v>
      </c>
      <c r="G60" s="12" t="s">
        <v>1127</v>
      </c>
      <c r="H60" s="11"/>
      <c r="I60" s="13">
        <v>0.0</v>
      </c>
      <c r="J60" s="13">
        <v>0.0</v>
      </c>
      <c r="K60" s="9" t="str">
        <f t="shared" si="10"/>
        <v>Twitter for Android</v>
      </c>
      <c r="L60" s="14">
        <v>140.0</v>
      </c>
      <c r="M60" s="14">
        <v>225.0</v>
      </c>
      <c r="N60" s="14">
        <v>0.0</v>
      </c>
      <c r="O60" s="15"/>
      <c r="P60" s="16">
        <v>43306.37039351852</v>
      </c>
      <c r="Q60" s="10" t="s">
        <v>1128</v>
      </c>
      <c r="R60" s="10" t="s">
        <v>1129</v>
      </c>
      <c r="S60" s="11"/>
      <c r="T60" s="11"/>
      <c r="U60" s="17" t="str">
        <f>HYPERLINK("https://pbs.twimg.com/profile_images/1351866303963869184/1pYaSKvP.jpg","View")</f>
        <v>View</v>
      </c>
      <c r="V60" s="11"/>
      <c r="W60" s="11"/>
      <c r="X60" s="11"/>
      <c r="Y60" s="11"/>
      <c r="Z60" s="11"/>
    </row>
    <row r="61">
      <c r="A61" s="8">
        <v>44222.34311342593</v>
      </c>
      <c r="B61" s="9" t="str">
        <f>HYPERLINK("https://twitter.com/tanylovbest___","@tanylovbest___")</f>
        <v>@tanylovbest___</v>
      </c>
      <c r="C61" s="10" t="s">
        <v>1130</v>
      </c>
      <c r="D61" s="10" t="s">
        <v>1131</v>
      </c>
      <c r="E61" s="9" t="str">
        <f>HYPERLINK("https://twitter.com/tanylovbest___/status/1354100306750144514","1354100306750144514")</f>
        <v>1354100306750144514</v>
      </c>
      <c r="F61" s="12" t="s">
        <v>1132</v>
      </c>
      <c r="G61" s="12" t="s">
        <v>1133</v>
      </c>
      <c r="H61" s="11"/>
      <c r="I61" s="13">
        <v>0.0</v>
      </c>
      <c r="J61" s="13">
        <v>4.0</v>
      </c>
      <c r="K61" s="9" t="str">
        <f>HYPERLINK("https://mobile.twitter.com","Twitter Web App")</f>
        <v>Twitter Web App</v>
      </c>
      <c r="L61" s="14">
        <v>1345.0</v>
      </c>
      <c r="M61" s="14">
        <v>1217.0</v>
      </c>
      <c r="N61" s="14">
        <v>47.0</v>
      </c>
      <c r="O61" s="15"/>
      <c r="P61" s="16">
        <v>43662.54627314815</v>
      </c>
      <c r="Q61" s="10" t="s">
        <v>1134</v>
      </c>
      <c r="R61" s="10" t="s">
        <v>1135</v>
      </c>
      <c r="S61" s="12" t="s">
        <v>1136</v>
      </c>
      <c r="T61" s="11"/>
      <c r="U61" s="17" t="str">
        <f>HYPERLINK("https://pbs.twimg.com/profile_images/1353753369928728577/VrlYmV8G.jpg","View")</f>
        <v>View</v>
      </c>
      <c r="V61" s="11"/>
      <c r="W61" s="11"/>
      <c r="X61" s="11"/>
      <c r="Y61" s="11"/>
      <c r="Z61" s="11"/>
    </row>
    <row r="62">
      <c r="A62" s="8">
        <v>44222.33391203704</v>
      </c>
      <c r="B62" s="9" t="str">
        <f>HYPERLINK("https://twitter.com/ALVAROAVI","@ALVAROAVI")</f>
        <v>@ALVAROAVI</v>
      </c>
      <c r="C62" s="10" t="s">
        <v>473</v>
      </c>
      <c r="D62" s="10" t="s">
        <v>474</v>
      </c>
      <c r="E62" s="9" t="str">
        <f>HYPERLINK("https://twitter.com/ALVAROAVI/status/1354096971242418176","1354096971242418176")</f>
        <v>1354096971242418176</v>
      </c>
      <c r="F62" s="10" t="s">
        <v>475</v>
      </c>
      <c r="G62" s="11"/>
      <c r="H62" s="11"/>
      <c r="I62" s="13">
        <v>1.0</v>
      </c>
      <c r="J62" s="13">
        <v>1.0</v>
      </c>
      <c r="K62" s="9" t="str">
        <f t="shared" ref="K62:K64" si="11">HYPERLINK("http://twitter.com/download/android","Twitter for Android")</f>
        <v>Twitter for Android</v>
      </c>
      <c r="L62" s="14">
        <v>1960.0</v>
      </c>
      <c r="M62" s="14">
        <v>2411.0</v>
      </c>
      <c r="N62" s="14">
        <v>12.0</v>
      </c>
      <c r="O62" s="15"/>
      <c r="P62" s="16">
        <v>40325.501122685186</v>
      </c>
      <c r="Q62" s="10" t="s">
        <v>476</v>
      </c>
      <c r="R62" s="10" t="s">
        <v>477</v>
      </c>
      <c r="S62" s="11"/>
      <c r="T62" s="11"/>
      <c r="U62" s="17" t="str">
        <f>HYPERLINK("https://pbs.twimg.com/profile_images/1167162244699959300/w_ZdItfp.jpg","View")</f>
        <v>View</v>
      </c>
      <c r="V62" s="11"/>
      <c r="W62" s="11"/>
      <c r="X62" s="11"/>
      <c r="Y62" s="11"/>
      <c r="Z62" s="11"/>
    </row>
    <row r="63">
      <c r="A63" s="8">
        <v>44222.331608796296</v>
      </c>
      <c r="B63" s="9" t="str">
        <f>HYPERLINK("https://twitter.com/JovaNYsnowbros","@JovaNYsnowbros")</f>
        <v>@JovaNYsnowbros</v>
      </c>
      <c r="C63" s="10" t="s">
        <v>1137</v>
      </c>
      <c r="D63" s="10" t="s">
        <v>1138</v>
      </c>
      <c r="E63" s="9" t="str">
        <f>HYPERLINK("https://twitter.com/JovaNYsnowbros/status/1354096134717894657","1354096134717894657")</f>
        <v>1354096134717894657</v>
      </c>
      <c r="F63" s="11"/>
      <c r="G63" s="11"/>
      <c r="H63" s="11"/>
      <c r="I63" s="13">
        <v>0.0</v>
      </c>
      <c r="J63" s="13">
        <v>0.0</v>
      </c>
      <c r="K63" s="9" t="str">
        <f t="shared" si="11"/>
        <v>Twitter for Android</v>
      </c>
      <c r="L63" s="14">
        <v>9.0</v>
      </c>
      <c r="M63" s="14">
        <v>1.0</v>
      </c>
      <c r="N63" s="14">
        <v>0.0</v>
      </c>
      <c r="O63" s="15"/>
      <c r="P63" s="16">
        <v>43932.437696759254</v>
      </c>
      <c r="Q63" s="10" t="s">
        <v>1139</v>
      </c>
      <c r="R63" s="10" t="s">
        <v>1140</v>
      </c>
      <c r="S63" s="11"/>
      <c r="T63" s="11"/>
      <c r="U63" s="17" t="str">
        <f>HYPERLINK("https://pbs.twimg.com/profile_images/1349875567064186883/A2yp6b4G.jpg","View")</f>
        <v>View</v>
      </c>
      <c r="V63" s="11"/>
      <c r="W63" s="11"/>
      <c r="X63" s="11"/>
      <c r="Y63" s="11"/>
      <c r="Z63" s="11"/>
    </row>
    <row r="64">
      <c r="A64" s="8">
        <v>44222.330925925926</v>
      </c>
      <c r="B64" s="9" t="str">
        <f>HYPERLINK("https://twitter.com/pufflehwasa","@pufflehwasa")</f>
        <v>@pufflehwasa</v>
      </c>
      <c r="C64" s="10" t="s">
        <v>1141</v>
      </c>
      <c r="D64" s="10" t="s">
        <v>1142</v>
      </c>
      <c r="E64" s="9" t="str">
        <f>HYPERLINK("https://twitter.com/pufflehwasa/status/1354095889741213697","1354095889741213697")</f>
        <v>1354095889741213697</v>
      </c>
      <c r="F64" s="11"/>
      <c r="G64" s="12" t="s">
        <v>1143</v>
      </c>
      <c r="H64" s="11"/>
      <c r="I64" s="13">
        <v>3.0</v>
      </c>
      <c r="J64" s="13">
        <v>7.0</v>
      </c>
      <c r="K64" s="9" t="str">
        <f t="shared" si="11"/>
        <v>Twitter for Android</v>
      </c>
      <c r="L64" s="14">
        <v>2074.0</v>
      </c>
      <c r="M64" s="14">
        <v>1666.0</v>
      </c>
      <c r="N64" s="14">
        <v>35.0</v>
      </c>
      <c r="O64" s="15"/>
      <c r="P64" s="16">
        <v>43790.187627314815</v>
      </c>
      <c r="Q64" s="10" t="s">
        <v>1144</v>
      </c>
      <c r="R64" s="10" t="s">
        <v>1145</v>
      </c>
      <c r="S64" s="12" t="s">
        <v>1146</v>
      </c>
      <c r="T64" s="11"/>
      <c r="U64" s="17" t="str">
        <f>HYPERLINK("https://pbs.twimg.com/profile_images/1351908963894370307/QPY9TD2X.jpg","View")</f>
        <v>View</v>
      </c>
      <c r="V64" s="11"/>
      <c r="W64" s="11"/>
      <c r="X64" s="11"/>
      <c r="Y64" s="11"/>
      <c r="Z64" s="11"/>
    </row>
    <row r="65">
      <c r="A65" s="8">
        <v>44222.32944444445</v>
      </c>
      <c r="B65" s="9" t="str">
        <f>HYPERLINK("https://twitter.com/sftprxmise","@sftprxmise")</f>
        <v>@sftprxmise</v>
      </c>
      <c r="C65" s="10" t="s">
        <v>478</v>
      </c>
      <c r="D65" s="10" t="s">
        <v>479</v>
      </c>
      <c r="E65" s="9" t="str">
        <f>HYPERLINK("https://twitter.com/sftprxmise/status/1354095352476037120","1354095352476037120")</f>
        <v>1354095352476037120</v>
      </c>
      <c r="F65" s="11"/>
      <c r="G65" s="11"/>
      <c r="H65" s="11"/>
      <c r="I65" s="13">
        <v>0.0</v>
      </c>
      <c r="J65" s="13">
        <v>0.0</v>
      </c>
      <c r="K65" s="9" t="str">
        <f>HYPERLINK("http://twitter.com/download/iphone","Twitter for iPhone")</f>
        <v>Twitter for iPhone</v>
      </c>
      <c r="L65" s="14">
        <v>1061.0</v>
      </c>
      <c r="M65" s="14">
        <v>856.0</v>
      </c>
      <c r="N65" s="14">
        <v>6.0</v>
      </c>
      <c r="O65" s="15"/>
      <c r="P65" s="16">
        <v>43986.34254629629</v>
      </c>
      <c r="Q65" s="10" t="s">
        <v>480</v>
      </c>
      <c r="R65" s="11"/>
      <c r="S65" s="12" t="s">
        <v>481</v>
      </c>
      <c r="T65" s="11"/>
      <c r="U65" s="17" t="str">
        <f>HYPERLINK("https://pbs.twimg.com/profile_images/1353951178145607681/NvsyyUpo.jpg","View")</f>
        <v>View</v>
      </c>
      <c r="V65" s="11"/>
      <c r="W65" s="11"/>
      <c r="X65" s="11"/>
      <c r="Y65" s="11"/>
      <c r="Z65" s="11"/>
    </row>
    <row r="66">
      <c r="A66" s="8">
        <v>44222.32815972222</v>
      </c>
      <c r="B66" s="9" t="str">
        <f>HYPERLINK("https://twitter.com/Badsport_Javi","@Badsport_Javi")</f>
        <v>@Badsport_Javi</v>
      </c>
      <c r="C66" s="10" t="s">
        <v>482</v>
      </c>
      <c r="D66" s="10" t="s">
        <v>483</v>
      </c>
      <c r="E66" s="9" t="str">
        <f>HYPERLINK("https://twitter.com/Badsport_Javi/status/1354094884748206080","1354094884748206080")</f>
        <v>1354094884748206080</v>
      </c>
      <c r="F66" s="12" t="s">
        <v>484</v>
      </c>
      <c r="G66" s="11"/>
      <c r="H66" s="11"/>
      <c r="I66" s="13">
        <v>0.0</v>
      </c>
      <c r="J66" s="13">
        <v>1.0</v>
      </c>
      <c r="K66" s="9" t="str">
        <f>HYPERLINK("https://mobile.twitter.com","Twitter Web App")</f>
        <v>Twitter Web App</v>
      </c>
      <c r="L66" s="14">
        <v>82.0</v>
      </c>
      <c r="M66" s="14">
        <v>141.0</v>
      </c>
      <c r="N66" s="14">
        <v>0.0</v>
      </c>
      <c r="O66" s="15"/>
      <c r="P66" s="16">
        <v>44198.16903935185</v>
      </c>
      <c r="Q66" s="10" t="s">
        <v>485</v>
      </c>
      <c r="R66" s="10" t="s">
        <v>486</v>
      </c>
      <c r="S66" s="11"/>
      <c r="T66" s="11"/>
      <c r="U66" s="17" t="str">
        <f>HYPERLINK("https://pbs.twimg.com/profile_images/1346098406738055175/lNSv8VTs.jpg","View")</f>
        <v>View</v>
      </c>
      <c r="V66" s="11"/>
      <c r="W66" s="11"/>
      <c r="X66" s="11"/>
      <c r="Y66" s="11"/>
      <c r="Z66" s="11"/>
    </row>
    <row r="67">
      <c r="A67" s="8">
        <v>44222.32278935185</v>
      </c>
      <c r="B67" s="9" t="str">
        <f>HYPERLINK("https://twitter.com/spkypilots","@spkypilots")</f>
        <v>@spkypilots</v>
      </c>
      <c r="C67" s="10" t="s">
        <v>1147</v>
      </c>
      <c r="D67" s="10" t="s">
        <v>1148</v>
      </c>
      <c r="E67" s="9" t="str">
        <f>HYPERLINK("https://twitter.com/spkypilots/status/1354092941313269763","1354092941313269763")</f>
        <v>1354092941313269763</v>
      </c>
      <c r="F67" s="11"/>
      <c r="G67" s="12" t="s">
        <v>1149</v>
      </c>
      <c r="H67" s="11"/>
      <c r="I67" s="13">
        <v>0.0</v>
      </c>
      <c r="J67" s="13">
        <v>0.0</v>
      </c>
      <c r="K67" s="9" t="str">
        <f t="shared" ref="K67:K68" si="12">HYPERLINK("http://twitter.com/download/android","Twitter for Android")</f>
        <v>Twitter for Android</v>
      </c>
      <c r="L67" s="14">
        <v>0.0</v>
      </c>
      <c r="M67" s="14">
        <v>32.0</v>
      </c>
      <c r="N67" s="14">
        <v>0.0</v>
      </c>
      <c r="O67" s="15"/>
      <c r="P67" s="16">
        <v>44007.973379629635</v>
      </c>
      <c r="Q67" s="10" t="s">
        <v>1150</v>
      </c>
      <c r="R67" s="11"/>
      <c r="S67" s="11"/>
      <c r="T67" s="11"/>
      <c r="U67" s="17" t="str">
        <f>HYPERLINK("https://pbs.twimg.com/profile_images/1353407211909869568/kGvzW6V8.jpg","View")</f>
        <v>View</v>
      </c>
      <c r="V67" s="11"/>
      <c r="W67" s="11"/>
      <c r="X67" s="11"/>
      <c r="Y67" s="11"/>
      <c r="Z67" s="11"/>
    </row>
    <row r="68">
      <c r="A68" s="8">
        <v>44222.320856481485</v>
      </c>
      <c r="B68" s="9" t="str">
        <f>HYPERLINK("https://twitter.com/suriheartless","@suriheartless")</f>
        <v>@suriheartless</v>
      </c>
      <c r="C68" s="10" t="s">
        <v>1151</v>
      </c>
      <c r="D68" s="10" t="s">
        <v>1152</v>
      </c>
      <c r="E68" s="9" t="str">
        <f>HYPERLINK("https://twitter.com/suriheartless/status/1354092241296437248","1354092241296437248")</f>
        <v>1354092241296437248</v>
      </c>
      <c r="F68" s="12" t="s">
        <v>1153</v>
      </c>
      <c r="G68" s="11"/>
      <c r="H68" s="11"/>
      <c r="I68" s="13">
        <v>0.0</v>
      </c>
      <c r="J68" s="13">
        <v>4.0</v>
      </c>
      <c r="K68" s="9" t="str">
        <f t="shared" si="12"/>
        <v>Twitter for Android</v>
      </c>
      <c r="L68" s="14">
        <v>6355.0</v>
      </c>
      <c r="M68" s="14">
        <v>1156.0</v>
      </c>
      <c r="N68" s="14">
        <v>16.0</v>
      </c>
      <c r="O68" s="15"/>
      <c r="P68" s="16">
        <v>41869.188055555554</v>
      </c>
      <c r="Q68" s="10" t="s">
        <v>1154</v>
      </c>
      <c r="R68" s="10" t="s">
        <v>1155</v>
      </c>
      <c r="S68" s="12" t="s">
        <v>1156</v>
      </c>
      <c r="T68" s="11"/>
      <c r="U68" s="17" t="str">
        <f>HYPERLINK("https://pbs.twimg.com/profile_images/1351239131926573065/St-_LNg_.jpg","View")</f>
        <v>View</v>
      </c>
      <c r="V68" s="11"/>
      <c r="W68" s="11"/>
      <c r="X68" s="11"/>
      <c r="Y68" s="11"/>
      <c r="Z68" s="11"/>
    </row>
    <row r="69">
      <c r="A69" s="8">
        <v>44222.3194212963</v>
      </c>
      <c r="B69" s="9" t="str">
        <f>HYPERLINK("https://twitter.com/3Crueldad","@3Crueldad")</f>
        <v>@3Crueldad</v>
      </c>
      <c r="C69" s="10" t="s">
        <v>1157</v>
      </c>
      <c r="D69" s="10" t="s">
        <v>1138</v>
      </c>
      <c r="E69" s="9" t="str">
        <f>HYPERLINK("https://twitter.com/3Crueldad/status/1354091719717957632","1354091719717957632")</f>
        <v>1354091719717957632</v>
      </c>
      <c r="F69" s="11"/>
      <c r="G69" s="11"/>
      <c r="H69" s="11"/>
      <c r="I69" s="13">
        <v>1.0</v>
      </c>
      <c r="J69" s="13">
        <v>3.0</v>
      </c>
      <c r="K69" s="9" t="str">
        <f>HYPERLINK("https://mobile.twitter.com","Twitter Web App")</f>
        <v>Twitter Web App</v>
      </c>
      <c r="L69" s="14">
        <v>180.0</v>
      </c>
      <c r="M69" s="14">
        <v>136.0</v>
      </c>
      <c r="N69" s="14">
        <v>0.0</v>
      </c>
      <c r="O69" s="15"/>
      <c r="P69" s="16">
        <v>44208.655543981484</v>
      </c>
      <c r="Q69" s="11"/>
      <c r="R69" s="10" t="s">
        <v>1158</v>
      </c>
      <c r="S69" s="11"/>
      <c r="T69" s="11"/>
      <c r="U69" s="17" t="str">
        <f>HYPERLINK("https://pbs.twimg.com/profile_images/1349140270881898500/MQXhZRZG.png","View")</f>
        <v>View</v>
      </c>
      <c r="V69" s="11"/>
      <c r="W69" s="11"/>
      <c r="X69" s="11"/>
      <c r="Y69" s="11"/>
      <c r="Z69" s="11"/>
    </row>
    <row r="70">
      <c r="A70" s="8">
        <v>44222.318402777775</v>
      </c>
      <c r="B70" s="9" t="str">
        <f>HYPERLINK("https://twitter.com/FJaviello","@FJaviello")</f>
        <v>@FJaviello</v>
      </c>
      <c r="C70" s="10" t="s">
        <v>1159</v>
      </c>
      <c r="D70" s="10" t="s">
        <v>1160</v>
      </c>
      <c r="E70" s="9" t="str">
        <f>HYPERLINK("https://twitter.com/FJaviello/status/1354091350808027146","1354091350808027146")</f>
        <v>1354091350808027146</v>
      </c>
      <c r="F70" s="11"/>
      <c r="G70" s="12" t="s">
        <v>1161</v>
      </c>
      <c r="H70" s="11"/>
      <c r="I70" s="13">
        <v>0.0</v>
      </c>
      <c r="J70" s="13">
        <v>1.0</v>
      </c>
      <c r="K70" s="9" t="str">
        <f>HYPERLINK("http://twitter.com/download/android","Twitter for Android")</f>
        <v>Twitter for Android</v>
      </c>
      <c r="L70" s="14">
        <v>218.0</v>
      </c>
      <c r="M70" s="14">
        <v>328.0</v>
      </c>
      <c r="N70" s="14">
        <v>0.0</v>
      </c>
      <c r="O70" s="15"/>
      <c r="P70" s="16">
        <v>43965.49840277778</v>
      </c>
      <c r="Q70" s="11"/>
      <c r="R70" s="11"/>
      <c r="S70" s="11"/>
      <c r="T70" s="11"/>
      <c r="U70" s="17" t="str">
        <f>HYPERLINK("https://pbs.twimg.com/profile_images/1282791367735943171/A68aKP-p.jpg","View")</f>
        <v>View</v>
      </c>
      <c r="V70" s="11"/>
      <c r="W70" s="11"/>
      <c r="X70" s="11"/>
      <c r="Y70" s="11"/>
      <c r="Z70" s="11"/>
    </row>
    <row r="71">
      <c r="A71" s="8">
        <v>44222.31768518519</v>
      </c>
      <c r="B71" s="9" t="str">
        <f>HYPERLINK("https://twitter.com/Lady_Vox_","@Lady_Vox_")</f>
        <v>@Lady_Vox_</v>
      </c>
      <c r="C71" s="10" t="s">
        <v>1162</v>
      </c>
      <c r="D71" s="10" t="s">
        <v>1163</v>
      </c>
      <c r="E71" s="9" t="str">
        <f>HYPERLINK("https://twitter.com/Lady_Vox_/status/1354091092514365441","1354091092514365441")</f>
        <v>1354091092514365441</v>
      </c>
      <c r="F71" s="11"/>
      <c r="G71" s="11"/>
      <c r="H71" s="11"/>
      <c r="I71" s="13">
        <v>0.0</v>
      </c>
      <c r="J71" s="13">
        <v>1.0</v>
      </c>
      <c r="K71" s="9" t="str">
        <f>HYPERLINK("http://twitter.com/download/iphone","Twitter for iPhone")</f>
        <v>Twitter for iPhone</v>
      </c>
      <c r="L71" s="14">
        <v>1465.0</v>
      </c>
      <c r="M71" s="14">
        <v>1240.0</v>
      </c>
      <c r="N71" s="14">
        <v>0.0</v>
      </c>
      <c r="O71" s="15"/>
      <c r="P71" s="16">
        <v>44147.165868055556</v>
      </c>
      <c r="Q71" s="10" t="s">
        <v>1164</v>
      </c>
      <c r="R71" s="10" t="s">
        <v>1165</v>
      </c>
      <c r="S71" s="11"/>
      <c r="T71" s="11"/>
      <c r="U71" s="17" t="str">
        <f>HYPERLINK("https://pbs.twimg.com/profile_images/1349034035008446465/rR238_rA.jpg","View")</f>
        <v>View</v>
      </c>
      <c r="V71" s="11"/>
      <c r="W71" s="11"/>
      <c r="X71" s="11"/>
      <c r="Y71" s="11"/>
      <c r="Z71" s="11"/>
    </row>
    <row r="72">
      <c r="A72" s="8">
        <v>44222.316030092596</v>
      </c>
      <c r="B72" s="9" t="str">
        <f>HYPERLINK("https://twitter.com/cafeinomanoX","@cafeinomanoX")</f>
        <v>@cafeinomanoX</v>
      </c>
      <c r="C72" s="10" t="s">
        <v>421</v>
      </c>
      <c r="D72" s="10" t="s">
        <v>487</v>
      </c>
      <c r="E72" s="9" t="str">
        <f>HYPERLINK("https://twitter.com/cafeinomanoX/status/1354090491911016448","1354090491911016448")</f>
        <v>1354090491911016448</v>
      </c>
      <c r="F72" s="11"/>
      <c r="G72" s="11"/>
      <c r="H72" s="11"/>
      <c r="I72" s="13">
        <v>0.0</v>
      </c>
      <c r="J72" s="13">
        <v>11.0</v>
      </c>
      <c r="K72" s="9" t="str">
        <f t="shared" ref="K72:K75" si="13">HYPERLINK("http://twitter.com/download/android","Twitter for Android")</f>
        <v>Twitter for Android</v>
      </c>
      <c r="L72" s="14">
        <v>1084.0</v>
      </c>
      <c r="M72" s="14">
        <v>1085.0</v>
      </c>
      <c r="N72" s="14">
        <v>0.0</v>
      </c>
      <c r="O72" s="15"/>
      <c r="P72" s="16">
        <v>42233.071284722224</v>
      </c>
      <c r="Q72" s="10" t="s">
        <v>425</v>
      </c>
      <c r="R72" s="10" t="s">
        <v>426</v>
      </c>
      <c r="S72" s="11"/>
      <c r="T72" s="11"/>
      <c r="U72" s="17" t="str">
        <f>HYPERLINK("https://pbs.twimg.com/profile_images/1353343567171883009/0X1kCweo.jpg","View")</f>
        <v>View</v>
      </c>
      <c r="V72" s="11"/>
      <c r="W72" s="11"/>
      <c r="X72" s="11"/>
      <c r="Y72" s="11"/>
      <c r="Z72" s="11"/>
    </row>
    <row r="73">
      <c r="A73" s="8">
        <v>44222.315312499995</v>
      </c>
      <c r="B73" s="9" t="str">
        <f>HYPERLINK("https://twitter.com/hxpelovs","@hxpelovs")</f>
        <v>@hxpelovs</v>
      </c>
      <c r="C73" s="10" t="s">
        <v>1166</v>
      </c>
      <c r="D73" s="10" t="s">
        <v>1167</v>
      </c>
      <c r="E73" s="9" t="str">
        <f>HYPERLINK("https://twitter.com/hxpelovs/status/1354090229213364224","1354090229213364224")</f>
        <v>1354090229213364224</v>
      </c>
      <c r="F73" s="11"/>
      <c r="G73" s="11"/>
      <c r="H73" s="11"/>
      <c r="I73" s="13">
        <v>0.0</v>
      </c>
      <c r="J73" s="13">
        <v>0.0</v>
      </c>
      <c r="K73" s="9" t="str">
        <f t="shared" si="13"/>
        <v>Twitter for Android</v>
      </c>
      <c r="L73" s="14">
        <v>406.0</v>
      </c>
      <c r="M73" s="14">
        <v>400.0</v>
      </c>
      <c r="N73" s="14">
        <v>2.0</v>
      </c>
      <c r="O73" s="15"/>
      <c r="P73" s="16">
        <v>42797.59767361111</v>
      </c>
      <c r="Q73" s="10" t="s">
        <v>1168</v>
      </c>
      <c r="R73" s="10" t="s">
        <v>1169</v>
      </c>
      <c r="S73" s="12" t="s">
        <v>1170</v>
      </c>
      <c r="T73" s="11"/>
      <c r="U73" s="17" t="str">
        <f>HYPERLINK("https://pbs.twimg.com/profile_images/1353538432035938306/j3YZfa4-.jpg","View")</f>
        <v>View</v>
      </c>
      <c r="V73" s="11"/>
      <c r="W73" s="11"/>
      <c r="X73" s="11"/>
      <c r="Y73" s="11"/>
      <c r="Z73" s="11"/>
    </row>
    <row r="74">
      <c r="A74" s="8">
        <v>44222.312303240746</v>
      </c>
      <c r="B74" s="9" t="str">
        <f>HYPERLINK("https://twitter.com/AleMiguell","@AleMiguell")</f>
        <v>@AleMiguell</v>
      </c>
      <c r="C74" s="10" t="s">
        <v>1171</v>
      </c>
      <c r="D74" s="10" t="s">
        <v>1172</v>
      </c>
      <c r="E74" s="9" t="str">
        <f>HYPERLINK("https://twitter.com/AleMiguell/status/1354089141630332932","1354089141630332932")</f>
        <v>1354089141630332932</v>
      </c>
      <c r="F74" s="12" t="s">
        <v>1173</v>
      </c>
      <c r="G74" s="12" t="s">
        <v>1174</v>
      </c>
      <c r="H74" s="11"/>
      <c r="I74" s="13">
        <v>0.0</v>
      </c>
      <c r="J74" s="13">
        <v>0.0</v>
      </c>
      <c r="K74" s="9" t="str">
        <f t="shared" si="13"/>
        <v>Twitter for Android</v>
      </c>
      <c r="L74" s="14">
        <v>892.0</v>
      </c>
      <c r="M74" s="14">
        <v>1010.0</v>
      </c>
      <c r="N74" s="14">
        <v>8.0</v>
      </c>
      <c r="O74" s="15"/>
      <c r="P74" s="16">
        <v>40324.597129629634</v>
      </c>
      <c r="Q74" s="10" t="s">
        <v>1175</v>
      </c>
      <c r="R74" s="10" t="s">
        <v>1176</v>
      </c>
      <c r="S74" s="12" t="s">
        <v>1177</v>
      </c>
      <c r="T74" s="11"/>
      <c r="U74" s="17" t="str">
        <f>HYPERLINK("https://pbs.twimg.com/profile_images/1331198551049842690/o7pV51U9.jpg","View")</f>
        <v>View</v>
      </c>
      <c r="V74" s="11"/>
      <c r="W74" s="11"/>
      <c r="X74" s="11"/>
      <c r="Y74" s="11"/>
      <c r="Z74" s="11"/>
    </row>
    <row r="75">
      <c r="A75" s="8">
        <v>44222.3107175926</v>
      </c>
      <c r="B75" s="9" t="str">
        <f>HYPERLINK("https://twitter.com/Alberto_a_00","@Alberto_a_00")</f>
        <v>@Alberto_a_00</v>
      </c>
      <c r="C75" s="10" t="s">
        <v>1178</v>
      </c>
      <c r="D75" s="10" t="s">
        <v>1179</v>
      </c>
      <c r="E75" s="9" t="str">
        <f>HYPERLINK("https://twitter.com/Alberto_a_00/status/1354088564829679617","1354088564829679617")</f>
        <v>1354088564829679617</v>
      </c>
      <c r="F75" s="11"/>
      <c r="G75" s="11"/>
      <c r="H75" s="11"/>
      <c r="I75" s="13">
        <v>0.0</v>
      </c>
      <c r="J75" s="13">
        <v>0.0</v>
      </c>
      <c r="K75" s="9" t="str">
        <f t="shared" si="13"/>
        <v>Twitter for Android</v>
      </c>
      <c r="L75" s="14">
        <v>227.0</v>
      </c>
      <c r="M75" s="14">
        <v>432.0</v>
      </c>
      <c r="N75" s="14">
        <v>0.0</v>
      </c>
      <c r="O75" s="15"/>
      <c r="P75" s="16">
        <v>42919.83230324074</v>
      </c>
      <c r="Q75" s="11"/>
      <c r="R75" s="11"/>
      <c r="S75" s="11"/>
      <c r="T75" s="11"/>
      <c r="U75" s="17" t="str">
        <f>HYPERLINK("https://pbs.twimg.com/profile_images/1312229153161334785/qYy8k6dR.jpg","View")</f>
        <v>View</v>
      </c>
      <c r="V75" s="11"/>
      <c r="W75" s="11"/>
      <c r="X75" s="11"/>
      <c r="Y75" s="11"/>
      <c r="Z75" s="11"/>
    </row>
    <row r="76">
      <c r="A76" s="8">
        <v>44222.299687499995</v>
      </c>
      <c r="B76" s="9" t="str">
        <f>HYPERLINK("https://twitter.com/ferreyaragon","@ferreyaragon")</f>
        <v>@ferreyaragon</v>
      </c>
      <c r="C76" s="10" t="s">
        <v>488</v>
      </c>
      <c r="D76" s="10" t="s">
        <v>489</v>
      </c>
      <c r="E76" s="9" t="str">
        <f>HYPERLINK("https://twitter.com/ferreyaragon/status/1354084570283520010","1354084570283520010")</f>
        <v>1354084570283520010</v>
      </c>
      <c r="F76" s="11"/>
      <c r="G76" s="11"/>
      <c r="H76" s="11"/>
      <c r="I76" s="13">
        <v>0.0</v>
      </c>
      <c r="J76" s="13">
        <v>2.0</v>
      </c>
      <c r="K76" s="9" t="str">
        <f>HYPERLINK("http://twitter.com/download/iphone","Twitter for iPhone")</f>
        <v>Twitter for iPhone</v>
      </c>
      <c r="L76" s="14">
        <v>1355.0</v>
      </c>
      <c r="M76" s="14">
        <v>3191.0</v>
      </c>
      <c r="N76" s="14">
        <v>1.0</v>
      </c>
      <c r="O76" s="15"/>
      <c r="P76" s="16">
        <v>43013.339733796296</v>
      </c>
      <c r="Q76" s="10" t="s">
        <v>490</v>
      </c>
      <c r="R76" s="11"/>
      <c r="S76" s="11"/>
      <c r="T76" s="11"/>
      <c r="U76" s="17" t="str">
        <f>HYPERLINK("https://pbs.twimg.com/profile_images/1261344878254010370/BhDkYZm4.jpg","View")</f>
        <v>View</v>
      </c>
      <c r="V76" s="11"/>
      <c r="W76" s="11"/>
      <c r="X76" s="11"/>
      <c r="Y76" s="11"/>
      <c r="Z76" s="11"/>
    </row>
    <row r="77">
      <c r="A77" s="8">
        <v>44222.288506944446</v>
      </c>
      <c r="B77" s="9" t="str">
        <f>HYPERLINK("https://twitter.com/SirTaurinus","@SirTaurinus")</f>
        <v>@SirTaurinus</v>
      </c>
      <c r="C77" s="10" t="s">
        <v>1180</v>
      </c>
      <c r="D77" s="10" t="s">
        <v>1181</v>
      </c>
      <c r="E77" s="9" t="str">
        <f>HYPERLINK("https://twitter.com/SirTaurinus/status/1354080515532464134","1354080515532464134")</f>
        <v>1354080515532464134</v>
      </c>
      <c r="F77" s="12" t="s">
        <v>1182</v>
      </c>
      <c r="G77" s="12" t="s">
        <v>1183</v>
      </c>
      <c r="H77" s="11"/>
      <c r="I77" s="13">
        <v>0.0</v>
      </c>
      <c r="J77" s="13">
        <v>1.0</v>
      </c>
      <c r="K77" s="9" t="str">
        <f>HYPERLINK("http://twitter.com/download/android","Twitter for Android")</f>
        <v>Twitter for Android</v>
      </c>
      <c r="L77" s="14">
        <v>1810.0</v>
      </c>
      <c r="M77" s="14">
        <v>3863.0</v>
      </c>
      <c r="N77" s="14">
        <v>13.0</v>
      </c>
      <c r="O77" s="15"/>
      <c r="P77" s="16">
        <v>40696.21171296296</v>
      </c>
      <c r="Q77" s="10" t="s">
        <v>184</v>
      </c>
      <c r="R77" s="10" t="s">
        <v>1184</v>
      </c>
      <c r="S77" s="11"/>
      <c r="T77" s="11"/>
      <c r="U77" s="17" t="str">
        <f>HYPERLINK("https://pbs.twimg.com/profile_images/1297859377651683329/aeNukJma.jpg","View")</f>
        <v>View</v>
      </c>
      <c r="V77" s="11"/>
      <c r="W77" s="11"/>
      <c r="X77" s="11"/>
      <c r="Y77" s="11"/>
      <c r="Z77" s="11"/>
    </row>
    <row r="78">
      <c r="A78" s="8">
        <v>44222.282997685186</v>
      </c>
      <c r="B78" s="9" t="str">
        <f>HYPERLINK("https://twitter.com/Valegoitia7","@Valegoitia7")</f>
        <v>@Valegoitia7</v>
      </c>
      <c r="C78" s="10" t="s">
        <v>491</v>
      </c>
      <c r="D78" s="10" t="s">
        <v>492</v>
      </c>
      <c r="E78" s="9" t="str">
        <f>HYPERLINK("https://twitter.com/Valegoitia7/status/1354078520046182401","1354078520046182401")</f>
        <v>1354078520046182401</v>
      </c>
      <c r="F78" s="11"/>
      <c r="G78" s="11"/>
      <c r="H78" s="11"/>
      <c r="I78" s="13">
        <v>0.0</v>
      </c>
      <c r="J78" s="13">
        <v>0.0</v>
      </c>
      <c r="K78" s="9" t="str">
        <f>HYPERLINK("http://twitter.com/download/iphone","Twitter for iPhone")</f>
        <v>Twitter for iPhone</v>
      </c>
      <c r="L78" s="14">
        <v>1274.0</v>
      </c>
      <c r="M78" s="14">
        <v>2969.0</v>
      </c>
      <c r="N78" s="14">
        <v>3.0</v>
      </c>
      <c r="O78" s="15"/>
      <c r="P78" s="16">
        <v>43058.64127314815</v>
      </c>
      <c r="Q78" s="10" t="s">
        <v>493</v>
      </c>
      <c r="R78" s="10" t="s">
        <v>494</v>
      </c>
      <c r="S78" s="12" t="s">
        <v>495</v>
      </c>
      <c r="T78" s="11"/>
      <c r="U78" s="17" t="str">
        <f>HYPERLINK("https://pbs.twimg.com/profile_images/1349949092269596672/7sqU4ksc.jpg","View")</f>
        <v>View</v>
      </c>
      <c r="V78" s="11"/>
      <c r="W78" s="11"/>
      <c r="X78" s="11"/>
      <c r="Y78" s="11"/>
      <c r="Z78" s="11"/>
    </row>
    <row r="79">
      <c r="A79" s="8">
        <v>44222.276550925926</v>
      </c>
      <c r="B79" s="9" t="str">
        <f>HYPERLINK("https://twitter.com/pascual_moya","@pascual_moya")</f>
        <v>@pascual_moya</v>
      </c>
      <c r="C79" s="10" t="s">
        <v>496</v>
      </c>
      <c r="D79" s="10" t="s">
        <v>497</v>
      </c>
      <c r="E79" s="9" t="str">
        <f>HYPERLINK("https://twitter.com/pascual_moya/status/1354076182929616925","1354076182929616925")</f>
        <v>1354076182929616925</v>
      </c>
      <c r="F79" s="12" t="s">
        <v>498</v>
      </c>
      <c r="G79" s="12" t="s">
        <v>499</v>
      </c>
      <c r="H79" s="11"/>
      <c r="I79" s="13">
        <v>1.0</v>
      </c>
      <c r="J79" s="13">
        <v>2.0</v>
      </c>
      <c r="K79" s="9" t="str">
        <f t="shared" ref="K79:K84" si="14">HYPERLINK("http://twitter.com/download/android","Twitter for Android")</f>
        <v>Twitter for Android</v>
      </c>
      <c r="L79" s="14">
        <v>517.0</v>
      </c>
      <c r="M79" s="14">
        <v>104.0</v>
      </c>
      <c r="N79" s="14">
        <v>3.0</v>
      </c>
      <c r="O79" s="15"/>
      <c r="P79" s="16">
        <v>40623.60822916667</v>
      </c>
      <c r="Q79" s="10" t="s">
        <v>500</v>
      </c>
      <c r="R79" s="10" t="s">
        <v>501</v>
      </c>
      <c r="S79" s="11"/>
      <c r="T79" s="11"/>
      <c r="U79" s="17" t="str">
        <f>HYPERLINK("https://pbs.twimg.com/profile_images/1345466740227108864/phEGdQ8-.jpg","View")</f>
        <v>View</v>
      </c>
      <c r="V79" s="11"/>
      <c r="W79" s="11"/>
      <c r="X79" s="11"/>
      <c r="Y79" s="11"/>
      <c r="Z79" s="11"/>
    </row>
    <row r="80">
      <c r="A80" s="8">
        <v>44222.27155092593</v>
      </c>
      <c r="B80" s="9" t="str">
        <f>HYPERLINK("https://twitter.com/xarcenciell","@xarcenciell")</f>
        <v>@xarcenciell</v>
      </c>
      <c r="C80" s="10" t="s">
        <v>502</v>
      </c>
      <c r="D80" s="10" t="s">
        <v>503</v>
      </c>
      <c r="E80" s="9" t="str">
        <f>HYPERLINK("https://twitter.com/xarcenciell/status/1354074373506924551","1354074373506924551")</f>
        <v>1354074373506924551</v>
      </c>
      <c r="F80" s="11"/>
      <c r="G80" s="11"/>
      <c r="H80" s="11"/>
      <c r="I80" s="13">
        <v>6.0</v>
      </c>
      <c r="J80" s="13">
        <v>0.0</v>
      </c>
      <c r="K80" s="9" t="str">
        <f t="shared" si="14"/>
        <v>Twitter for Android</v>
      </c>
      <c r="L80" s="14">
        <v>0.0</v>
      </c>
      <c r="M80" s="14">
        <v>3.0</v>
      </c>
      <c r="N80" s="14">
        <v>0.0</v>
      </c>
      <c r="O80" s="15"/>
      <c r="P80" s="16">
        <v>44138.54394675926</v>
      </c>
      <c r="Q80" s="10" t="s">
        <v>504</v>
      </c>
      <c r="R80" s="10" t="s">
        <v>505</v>
      </c>
      <c r="S80" s="11"/>
      <c r="T80" s="11"/>
      <c r="U80" s="17" t="str">
        <f>HYPERLINK("https://pbs.twimg.com/profile_images/1323732759555223554/w9BwbBhv.jpg","View")</f>
        <v>View</v>
      </c>
      <c r="V80" s="11"/>
      <c r="W80" s="11"/>
      <c r="X80" s="11"/>
      <c r="Y80" s="11"/>
      <c r="Z80" s="11"/>
    </row>
    <row r="81">
      <c r="A81" s="8">
        <v>44222.26078703704</v>
      </c>
      <c r="B81" s="9" t="str">
        <f>HYPERLINK("https://twitter.com/papibran85","@papibran85")</f>
        <v>@papibran85</v>
      </c>
      <c r="C81" s="10" t="s">
        <v>660</v>
      </c>
      <c r="D81" s="10" t="s">
        <v>1185</v>
      </c>
      <c r="E81" s="9" t="str">
        <f>HYPERLINK("https://twitter.com/papibran85/status/1354070472791568385","1354070472791568385")</f>
        <v>1354070472791568385</v>
      </c>
      <c r="F81" s="12" t="s">
        <v>1186</v>
      </c>
      <c r="G81" s="12" t="s">
        <v>1187</v>
      </c>
      <c r="H81" s="11"/>
      <c r="I81" s="13">
        <v>0.0</v>
      </c>
      <c r="J81" s="13">
        <v>0.0</v>
      </c>
      <c r="K81" s="9" t="str">
        <f t="shared" si="14"/>
        <v>Twitter for Android</v>
      </c>
      <c r="L81" s="14">
        <v>50.0</v>
      </c>
      <c r="M81" s="14">
        <v>66.0</v>
      </c>
      <c r="N81" s="14">
        <v>0.0</v>
      </c>
      <c r="O81" s="15"/>
      <c r="P81" s="16">
        <v>44136.69173611111</v>
      </c>
      <c r="Q81" s="11"/>
      <c r="R81" s="10" t="s">
        <v>664</v>
      </c>
      <c r="S81" s="11"/>
      <c r="T81" s="11"/>
      <c r="U81" s="17" t="str">
        <f>HYPERLINK("https://pbs.twimg.com/profile_images/1349820804339359744/TSznAiBE.png","View")</f>
        <v>View</v>
      </c>
      <c r="V81" s="11"/>
      <c r="W81" s="11"/>
      <c r="X81" s="11"/>
      <c r="Y81" s="11"/>
      <c r="Z81" s="11"/>
    </row>
    <row r="82">
      <c r="A82" s="8">
        <v>44222.26020833333</v>
      </c>
      <c r="B82" s="9" t="str">
        <f>HYPERLINK("https://twitter.com/angelicarce13","@angelicarce13")</f>
        <v>@angelicarce13</v>
      </c>
      <c r="C82" s="10" t="s">
        <v>1188</v>
      </c>
      <c r="D82" s="10" t="s">
        <v>1189</v>
      </c>
      <c r="E82" s="9" t="str">
        <f>HYPERLINK("https://twitter.com/angelicarce13/status/1354070261470027777","1354070261470027777")</f>
        <v>1354070261470027777</v>
      </c>
      <c r="F82" s="11"/>
      <c r="G82" s="12" t="s">
        <v>1190</v>
      </c>
      <c r="H82" s="11"/>
      <c r="I82" s="13">
        <v>0.0</v>
      </c>
      <c r="J82" s="13">
        <v>1.0</v>
      </c>
      <c r="K82" s="9" t="str">
        <f t="shared" si="14"/>
        <v>Twitter for Android</v>
      </c>
      <c r="L82" s="14">
        <v>8.0</v>
      </c>
      <c r="M82" s="14">
        <v>60.0</v>
      </c>
      <c r="N82" s="14">
        <v>0.0</v>
      </c>
      <c r="O82" s="15"/>
      <c r="P82" s="16">
        <v>44123.89605324074</v>
      </c>
      <c r="Q82" s="10" t="s">
        <v>1191</v>
      </c>
      <c r="R82" s="10" t="s">
        <v>1192</v>
      </c>
      <c r="S82" s="12" t="s">
        <v>1193</v>
      </c>
      <c r="T82" s="11"/>
      <c r="U82" s="17" t="str">
        <f>HYPERLINK("https://pbs.twimg.com/profile_images/1336842655154774018/FfINA4Pk.jpg","View")</f>
        <v>View</v>
      </c>
      <c r="V82" s="11"/>
      <c r="W82" s="11"/>
      <c r="X82" s="11"/>
      <c r="Y82" s="11"/>
      <c r="Z82" s="11"/>
    </row>
    <row r="83">
      <c r="A83" s="8">
        <v>44222.2590625</v>
      </c>
      <c r="B83" s="9" t="str">
        <f t="shared" ref="B83:B84" si="15">HYPERLINK("https://twitter.com/GertrudeFairy","@GertrudeFairy")</f>
        <v>@GertrudeFairy</v>
      </c>
      <c r="C83" s="10" t="s">
        <v>576</v>
      </c>
      <c r="D83" s="10" t="s">
        <v>1194</v>
      </c>
      <c r="E83" s="9" t="str">
        <f>HYPERLINK("https://twitter.com/GertrudeFairy/status/1354069845873143810","1354069845873143810")</f>
        <v>1354069845873143810</v>
      </c>
      <c r="F83" s="12" t="s">
        <v>569</v>
      </c>
      <c r="G83" s="12" t="s">
        <v>570</v>
      </c>
      <c r="H83" s="11"/>
      <c r="I83" s="13">
        <v>0.0</v>
      </c>
      <c r="J83" s="13">
        <v>0.0</v>
      </c>
      <c r="K83" s="9" t="str">
        <f t="shared" si="14"/>
        <v>Twitter for Android</v>
      </c>
      <c r="L83" s="14">
        <v>50.0</v>
      </c>
      <c r="M83" s="14">
        <v>177.0</v>
      </c>
      <c r="N83" s="14">
        <v>0.0</v>
      </c>
      <c r="O83" s="15"/>
      <c r="P83" s="16">
        <v>43909.04771990741</v>
      </c>
      <c r="Q83" s="11"/>
      <c r="R83" s="10" t="s">
        <v>580</v>
      </c>
      <c r="S83" s="11"/>
      <c r="T83" s="11"/>
      <c r="U83" s="17" t="str">
        <f t="shared" ref="U83:U84" si="16">HYPERLINK("https://pbs.twimg.com/profile_images/1250315671344254976/QnET8XOW.jpg","View")</f>
        <v>View</v>
      </c>
      <c r="V83" s="11"/>
      <c r="W83" s="11"/>
      <c r="X83" s="11"/>
      <c r="Y83" s="11"/>
      <c r="Z83" s="11"/>
    </row>
    <row r="84">
      <c r="A84" s="8">
        <v>44222.25555555556</v>
      </c>
      <c r="B84" s="9" t="str">
        <f t="shared" si="15"/>
        <v>@GertrudeFairy</v>
      </c>
      <c r="C84" s="10" t="s">
        <v>576</v>
      </c>
      <c r="D84" s="10" t="s">
        <v>1195</v>
      </c>
      <c r="E84" s="9" t="str">
        <f>HYPERLINK("https://twitter.com/GertrudeFairy/status/1354068575099760640","1354068575099760640")</f>
        <v>1354068575099760640</v>
      </c>
      <c r="F84" s="12" t="s">
        <v>1196</v>
      </c>
      <c r="G84" s="12" t="s">
        <v>1197</v>
      </c>
      <c r="H84" s="11"/>
      <c r="I84" s="13">
        <v>0.0</v>
      </c>
      <c r="J84" s="13">
        <v>0.0</v>
      </c>
      <c r="K84" s="9" t="str">
        <f t="shared" si="14"/>
        <v>Twitter for Android</v>
      </c>
      <c r="L84" s="14">
        <v>50.0</v>
      </c>
      <c r="M84" s="14">
        <v>177.0</v>
      </c>
      <c r="N84" s="14">
        <v>0.0</v>
      </c>
      <c r="O84" s="15"/>
      <c r="P84" s="16">
        <v>43909.04771990741</v>
      </c>
      <c r="Q84" s="11"/>
      <c r="R84" s="10" t="s">
        <v>580</v>
      </c>
      <c r="S84" s="11"/>
      <c r="T84" s="11"/>
      <c r="U84" s="17" t="str">
        <f t="shared" si="16"/>
        <v>View</v>
      </c>
      <c r="V84" s="11"/>
      <c r="W84" s="11"/>
      <c r="X84" s="11"/>
      <c r="Y84" s="11"/>
      <c r="Z84" s="11"/>
    </row>
    <row r="85">
      <c r="A85" s="8">
        <v>44222.24493055556</v>
      </c>
      <c r="B85" s="9" t="str">
        <f>HYPERLINK("https://twitter.com/WyattSolberg","@WyattSolberg")</f>
        <v>@WyattSolberg</v>
      </c>
      <c r="C85" s="10" t="s">
        <v>506</v>
      </c>
      <c r="D85" s="10" t="s">
        <v>507</v>
      </c>
      <c r="E85" s="9" t="str">
        <f>HYPERLINK("https://twitter.com/WyattSolberg/status/1354064723625578496","1354064723625578496")</f>
        <v>1354064723625578496</v>
      </c>
      <c r="F85" s="11"/>
      <c r="G85" s="11"/>
      <c r="H85" s="11"/>
      <c r="I85" s="13">
        <v>0.0</v>
      </c>
      <c r="J85" s="13">
        <v>1.0</v>
      </c>
      <c r="K85" s="9" t="str">
        <f>HYPERLINK("http://twitter.com/download/iphone","Twitter for iPhone")</f>
        <v>Twitter for iPhone</v>
      </c>
      <c r="L85" s="14">
        <v>1145.0</v>
      </c>
      <c r="M85" s="14">
        <v>731.0</v>
      </c>
      <c r="N85" s="14">
        <v>35.0</v>
      </c>
      <c r="O85" s="15"/>
      <c r="P85" s="16">
        <v>43856.1578587963</v>
      </c>
      <c r="Q85" s="10" t="s">
        <v>508</v>
      </c>
      <c r="R85" s="10" t="s">
        <v>509</v>
      </c>
      <c r="S85" s="12" t="s">
        <v>510</v>
      </c>
      <c r="T85" s="11"/>
      <c r="U85" s="17" t="str">
        <f>HYPERLINK("https://pbs.twimg.com/profile_images/1354067602000277504/ADtiXSPu.jpg","View")</f>
        <v>View</v>
      </c>
      <c r="V85" s="11"/>
      <c r="W85" s="11"/>
      <c r="X85" s="11"/>
      <c r="Y85" s="11"/>
      <c r="Z85" s="11"/>
    </row>
    <row r="86">
      <c r="A86" s="8">
        <v>44222.21450231482</v>
      </c>
      <c r="B86" s="9" t="str">
        <f>HYPERLINK("https://twitter.com/re_pvta","@re_pvta")</f>
        <v>@re_pvta</v>
      </c>
      <c r="C86" s="10" t="s">
        <v>511</v>
      </c>
      <c r="D86" s="10" t="s">
        <v>512</v>
      </c>
      <c r="E86" s="9" t="str">
        <f>HYPERLINK("https://twitter.com/re_pvta/status/1354053698549391360","1354053698549391360")</f>
        <v>1354053698549391360</v>
      </c>
      <c r="F86" s="11"/>
      <c r="G86" s="11"/>
      <c r="H86" s="11"/>
      <c r="I86" s="13">
        <v>0.0</v>
      </c>
      <c r="J86" s="13">
        <v>0.0</v>
      </c>
      <c r="K86" s="9" t="str">
        <f>HYPERLINK("http://twitter.com/download/android","Twitter for Android")</f>
        <v>Twitter for Android</v>
      </c>
      <c r="L86" s="14">
        <v>0.0</v>
      </c>
      <c r="M86" s="14">
        <v>5.0</v>
      </c>
      <c r="N86" s="14">
        <v>0.0</v>
      </c>
      <c r="O86" s="15"/>
      <c r="P86" s="16">
        <v>44208.47778935185</v>
      </c>
      <c r="Q86" s="11"/>
      <c r="R86" s="11"/>
      <c r="S86" s="11"/>
      <c r="T86" s="11"/>
      <c r="U86" s="17" t="str">
        <f>HYPERLINK("https://pbs.twimg.com/profile_images/1349077451821998081/4wGu7BbG.jpg","View")</f>
        <v>View</v>
      </c>
      <c r="V86" s="11"/>
      <c r="W86" s="11"/>
      <c r="X86" s="11"/>
      <c r="Y86" s="11"/>
      <c r="Z86" s="11"/>
    </row>
    <row r="87">
      <c r="A87" s="8">
        <v>44222.19892361111</v>
      </c>
      <c r="B87" s="9" t="str">
        <f>HYPERLINK("https://twitter.com/Napalism","@Napalism")</f>
        <v>@Napalism</v>
      </c>
      <c r="C87" s="10" t="s">
        <v>1198</v>
      </c>
      <c r="D87" s="10" t="s">
        <v>1199</v>
      </c>
      <c r="E87" s="9" t="str">
        <f>HYPERLINK("https://twitter.com/Napalism/status/1354048052156370944","1354048052156370944")</f>
        <v>1354048052156370944</v>
      </c>
      <c r="F87" s="10" t="s">
        <v>1200</v>
      </c>
      <c r="G87" s="11"/>
      <c r="H87" s="11"/>
      <c r="I87" s="13">
        <v>0.0</v>
      </c>
      <c r="J87" s="13">
        <v>3.0</v>
      </c>
      <c r="K87" s="9" t="str">
        <f>HYPERLINK("https://mobile.twitter.com","Twitter Web App")</f>
        <v>Twitter Web App</v>
      </c>
      <c r="L87" s="14">
        <v>1476.0</v>
      </c>
      <c r="M87" s="14">
        <v>402.0</v>
      </c>
      <c r="N87" s="14">
        <v>10.0</v>
      </c>
      <c r="O87" s="15"/>
      <c r="P87" s="16">
        <v>40568.131377314814</v>
      </c>
      <c r="Q87" s="11"/>
      <c r="R87" s="10" t="s">
        <v>1201</v>
      </c>
      <c r="S87" s="11"/>
      <c r="T87" s="11"/>
      <c r="U87" s="17" t="str">
        <f>HYPERLINK("https://pbs.twimg.com/profile_images/1347625934862606336/lZr39gWP.jpg","View")</f>
        <v>View</v>
      </c>
      <c r="V87" s="11"/>
      <c r="W87" s="11"/>
      <c r="X87" s="11"/>
      <c r="Y87" s="11"/>
      <c r="Z87" s="11"/>
    </row>
    <row r="88">
      <c r="A88" s="8">
        <v>44222.198229166665</v>
      </c>
      <c r="B88" s="9" t="str">
        <f>HYPERLINK("https://twitter.com/farodelanoche","@farodelanoche")</f>
        <v>@farodelanoche</v>
      </c>
      <c r="C88" s="10" t="s">
        <v>513</v>
      </c>
      <c r="D88" s="10" t="s">
        <v>514</v>
      </c>
      <c r="E88" s="9" t="str">
        <f>HYPERLINK("https://twitter.com/farodelanoche/status/1354047799453769728","1354047799453769728")</f>
        <v>1354047799453769728</v>
      </c>
      <c r="F88" s="11"/>
      <c r="G88" s="11"/>
      <c r="H88" s="11"/>
      <c r="I88" s="13">
        <v>0.0</v>
      </c>
      <c r="J88" s="13">
        <v>0.0</v>
      </c>
      <c r="K88" s="9" t="str">
        <f>HYPERLINK("http://twitter.com/download/android","Twitter for Android")</f>
        <v>Twitter for Android</v>
      </c>
      <c r="L88" s="14">
        <v>33.0</v>
      </c>
      <c r="M88" s="14">
        <v>28.0</v>
      </c>
      <c r="N88" s="14">
        <v>1.0</v>
      </c>
      <c r="O88" s="15"/>
      <c r="P88" s="16">
        <v>40849.55269675926</v>
      </c>
      <c r="Q88" s="10" t="s">
        <v>515</v>
      </c>
      <c r="R88" s="11"/>
      <c r="S88" s="11"/>
      <c r="T88" s="11"/>
      <c r="U88" s="17" t="str">
        <f>HYPERLINK("https://pbs.twimg.com/profile_images/1317771718967107586/pzPdwLwb.jpg","View")</f>
        <v>View</v>
      </c>
      <c r="V88" s="11"/>
      <c r="W88" s="11"/>
      <c r="X88" s="11"/>
      <c r="Y88" s="11"/>
      <c r="Z88" s="11"/>
    </row>
    <row r="89">
      <c r="A89" s="8">
        <v>44222.1891087963</v>
      </c>
      <c r="B89" s="9" t="str">
        <f>HYPERLINK("https://twitter.com/Horaciotwd","@Horaciotwd")</f>
        <v>@Horaciotwd</v>
      </c>
      <c r="C89" s="10" t="s">
        <v>516</v>
      </c>
      <c r="D89" s="10" t="s">
        <v>517</v>
      </c>
      <c r="E89" s="9" t="str">
        <f>HYPERLINK("https://twitter.com/Horaciotwd/status/1354044494191226880","1354044494191226880")</f>
        <v>1354044494191226880</v>
      </c>
      <c r="F89" s="11"/>
      <c r="G89" s="12" t="s">
        <v>518</v>
      </c>
      <c r="H89" s="11"/>
      <c r="I89" s="13">
        <v>0.0</v>
      </c>
      <c r="J89" s="13">
        <v>0.0</v>
      </c>
      <c r="K89" s="9" t="str">
        <f t="shared" ref="K89:K90" si="17">HYPERLINK("http://twitter.com/download/iphone","Twitter for iPhone")</f>
        <v>Twitter for iPhone</v>
      </c>
      <c r="L89" s="14">
        <v>681.0</v>
      </c>
      <c r="M89" s="14">
        <v>1408.0</v>
      </c>
      <c r="N89" s="14">
        <v>1.0</v>
      </c>
      <c r="O89" s="15"/>
      <c r="P89" s="16">
        <v>41381.73440972222</v>
      </c>
      <c r="Q89" s="10" t="s">
        <v>519</v>
      </c>
      <c r="R89" s="10" t="s">
        <v>520</v>
      </c>
      <c r="S89" s="11"/>
      <c r="T89" s="11"/>
      <c r="U89" s="17" t="str">
        <f>HYPERLINK("https://pbs.twimg.com/profile_images/1323809936502116353/eKzpZ2Ll.jpg","View")</f>
        <v>View</v>
      </c>
      <c r="V89" s="11"/>
      <c r="W89" s="11"/>
      <c r="X89" s="11"/>
      <c r="Y89" s="11"/>
      <c r="Z89" s="11"/>
    </row>
    <row r="90">
      <c r="A90" s="8">
        <v>44222.187048611115</v>
      </c>
      <c r="B90" s="9" t="str">
        <f>HYPERLINK("https://twitter.com/kakafu2020","@kakafu2020")</f>
        <v>@kakafu2020</v>
      </c>
      <c r="C90" s="10" t="s">
        <v>521</v>
      </c>
      <c r="D90" s="10" t="s">
        <v>522</v>
      </c>
      <c r="E90" s="9" t="str">
        <f>HYPERLINK("https://twitter.com/kakafu2020/status/1354043751623241730","1354043751623241730")</f>
        <v>1354043751623241730</v>
      </c>
      <c r="F90" s="11"/>
      <c r="G90" s="11"/>
      <c r="H90" s="11"/>
      <c r="I90" s="13">
        <v>0.0</v>
      </c>
      <c r="J90" s="13">
        <v>0.0</v>
      </c>
      <c r="K90" s="9" t="str">
        <f t="shared" si="17"/>
        <v>Twitter for iPhone</v>
      </c>
      <c r="L90" s="14">
        <v>602.0</v>
      </c>
      <c r="M90" s="14">
        <v>795.0</v>
      </c>
      <c r="N90" s="14">
        <v>1.0</v>
      </c>
      <c r="O90" s="15"/>
      <c r="P90" s="16">
        <v>44125.43290509259</v>
      </c>
      <c r="Q90" s="11"/>
      <c r="R90" s="10" t="s">
        <v>523</v>
      </c>
      <c r="S90" s="11"/>
      <c r="T90" s="11"/>
      <c r="U90" s="17" t="str">
        <f>HYPERLINK("https://pbs.twimg.com/profile_images/1351622867553841156/MTK77Iy_.jpg","View")</f>
        <v>View</v>
      </c>
      <c r="V90" s="11"/>
      <c r="W90" s="11"/>
      <c r="X90" s="11"/>
      <c r="Y90" s="11"/>
      <c r="Z90" s="11"/>
    </row>
    <row r="91">
      <c r="A91" s="8">
        <v>44222.18074074074</v>
      </c>
      <c r="B91" s="9" t="str">
        <f>HYPERLINK("https://twitter.com/BGromen","@BGromen")</f>
        <v>@BGromen</v>
      </c>
      <c r="C91" s="10" t="s">
        <v>1202</v>
      </c>
      <c r="D91" s="10" t="s">
        <v>1203</v>
      </c>
      <c r="E91" s="9" t="str">
        <f>HYPERLINK("https://twitter.com/BGromen/status/1354041462682492929","1354041462682492929")</f>
        <v>1354041462682492929</v>
      </c>
      <c r="F91" s="10" t="s">
        <v>1204</v>
      </c>
      <c r="G91" s="12" t="s">
        <v>1205</v>
      </c>
      <c r="H91" s="11"/>
      <c r="I91" s="13">
        <v>0.0</v>
      </c>
      <c r="J91" s="13">
        <v>0.0</v>
      </c>
      <c r="K91" s="9" t="str">
        <f>HYPERLINK("https://mobile.twitter.com","Twitter Web App")</f>
        <v>Twitter Web App</v>
      </c>
      <c r="L91" s="14">
        <v>134.0</v>
      </c>
      <c r="M91" s="14">
        <v>386.0</v>
      </c>
      <c r="N91" s="14">
        <v>0.0</v>
      </c>
      <c r="O91" s="15"/>
      <c r="P91" s="16">
        <v>42158.416979166665</v>
      </c>
      <c r="Q91" s="10" t="s">
        <v>1206</v>
      </c>
      <c r="R91" s="10" t="s">
        <v>1207</v>
      </c>
      <c r="S91" s="11"/>
      <c r="T91" s="11"/>
      <c r="U91" s="17" t="str">
        <f>HYPERLINK("https://pbs.twimg.com/profile_images/1237878817164627969/-3ovu_aY.jpg","View")</f>
        <v>View</v>
      </c>
      <c r="V91" s="11"/>
      <c r="W91" s="11"/>
      <c r="X91" s="11"/>
      <c r="Y91" s="11"/>
      <c r="Z91" s="11"/>
    </row>
    <row r="92">
      <c r="A92" s="8">
        <v>44222.176041666666</v>
      </c>
      <c r="B92" s="9" t="str">
        <f>HYPERLINK("https://twitter.com/InigovanEyck","@InigovanEyck")</f>
        <v>@InigovanEyck</v>
      </c>
      <c r="C92" s="10" t="s">
        <v>524</v>
      </c>
      <c r="D92" s="10" t="s">
        <v>525</v>
      </c>
      <c r="E92" s="9" t="str">
        <f>HYPERLINK("https://twitter.com/InigovanEyck/status/1354039759706972161","1354039759706972161")</f>
        <v>1354039759706972161</v>
      </c>
      <c r="F92" s="11"/>
      <c r="G92" s="11"/>
      <c r="H92" s="11"/>
      <c r="I92" s="13">
        <v>36.0</v>
      </c>
      <c r="J92" s="13">
        <v>87.0</v>
      </c>
      <c r="K92" s="9" t="str">
        <f t="shared" ref="K92:K93" si="18">HYPERLINK("http://twitter.com/download/iphone","Twitter for iPhone")</f>
        <v>Twitter for iPhone</v>
      </c>
      <c r="L92" s="14">
        <v>5515.0</v>
      </c>
      <c r="M92" s="14">
        <v>1577.0</v>
      </c>
      <c r="N92" s="14">
        <v>25.0</v>
      </c>
      <c r="O92" s="15"/>
      <c r="P92" s="16">
        <v>40219.507372685184</v>
      </c>
      <c r="Q92" s="10" t="s">
        <v>526</v>
      </c>
      <c r="R92" s="10" t="s">
        <v>527</v>
      </c>
      <c r="S92" s="11"/>
      <c r="T92" s="11"/>
      <c r="U92" s="17" t="str">
        <f>HYPERLINK("https://pbs.twimg.com/profile_images/864237511677267969/wPkJv2B3.jpg","View")</f>
        <v>View</v>
      </c>
      <c r="V92" s="11"/>
      <c r="W92" s="11"/>
      <c r="X92" s="11"/>
      <c r="Y92" s="11"/>
      <c r="Z92" s="11"/>
    </row>
    <row r="93">
      <c r="A93" s="8">
        <v>44222.175150462965</v>
      </c>
      <c r="B93" s="9" t="str">
        <f>HYPERLINK("https://twitter.com/iamarkeetosj","@iamarkeetosj")</f>
        <v>@iamarkeetosj</v>
      </c>
      <c r="C93" s="10" t="s">
        <v>1208</v>
      </c>
      <c r="D93" s="10" t="s">
        <v>1209</v>
      </c>
      <c r="E93" s="9" t="str">
        <f>HYPERLINK("https://twitter.com/iamarkeetosj/status/1354039436263247872","1354039436263247872")</f>
        <v>1354039436263247872</v>
      </c>
      <c r="F93" s="11"/>
      <c r="G93" s="11"/>
      <c r="H93" s="11"/>
      <c r="I93" s="13">
        <v>0.0</v>
      </c>
      <c r="J93" s="13">
        <v>0.0</v>
      </c>
      <c r="K93" s="9" t="str">
        <f t="shared" si="18"/>
        <v>Twitter for iPhone</v>
      </c>
      <c r="L93" s="14">
        <v>85.0</v>
      </c>
      <c r="M93" s="14">
        <v>265.0</v>
      </c>
      <c r="N93" s="14">
        <v>1.0</v>
      </c>
      <c r="O93" s="15"/>
      <c r="P93" s="16">
        <v>42557.73011574074</v>
      </c>
      <c r="Q93" s="10" t="s">
        <v>1210</v>
      </c>
      <c r="R93" s="11"/>
      <c r="S93" s="11"/>
      <c r="T93" s="11"/>
      <c r="U93" s="17" t="str">
        <f>HYPERLINK("https://pbs.twimg.com/profile_images/1351876214458298371/nv2R6MT1.jpg","View")</f>
        <v>View</v>
      </c>
      <c r="V93" s="11"/>
      <c r="W93" s="11"/>
      <c r="X93" s="11"/>
      <c r="Y93" s="11"/>
      <c r="Z93" s="11"/>
    </row>
    <row r="94">
      <c r="A94" s="8">
        <v>44222.1658449074</v>
      </c>
      <c r="B94" s="9" t="str">
        <f>HYPERLINK("https://twitter.com/javier_craq","@javier_craq")</f>
        <v>@javier_craq</v>
      </c>
      <c r="C94" s="10" t="s">
        <v>528</v>
      </c>
      <c r="D94" s="10" t="s">
        <v>529</v>
      </c>
      <c r="E94" s="9" t="str">
        <f>HYPERLINK("https://twitter.com/javier_craq/status/1354036066618122240","1354036066618122240")</f>
        <v>1354036066618122240</v>
      </c>
      <c r="F94" s="11"/>
      <c r="G94" s="11"/>
      <c r="H94" s="11"/>
      <c r="I94" s="13">
        <v>0.0</v>
      </c>
      <c r="J94" s="13">
        <v>7.0</v>
      </c>
      <c r="K94" s="9" t="str">
        <f>HYPERLINK("http://twitter.com/download/android","Twitter for Android")</f>
        <v>Twitter for Android</v>
      </c>
      <c r="L94" s="14">
        <v>34.0</v>
      </c>
      <c r="M94" s="14">
        <v>163.0</v>
      </c>
      <c r="N94" s="14">
        <v>0.0</v>
      </c>
      <c r="O94" s="15"/>
      <c r="P94" s="16">
        <v>43488.629652777774</v>
      </c>
      <c r="Q94" s="11"/>
      <c r="R94" s="10" t="s">
        <v>530</v>
      </c>
      <c r="S94" s="12" t="s">
        <v>531</v>
      </c>
      <c r="T94" s="11"/>
      <c r="U94" s="17" t="str">
        <f>HYPERLINK("https://pbs.twimg.com/profile_images/1320919433821495297/qH7I1e95.jpg","View")</f>
        <v>View</v>
      </c>
      <c r="V94" s="11"/>
      <c r="W94" s="11"/>
      <c r="X94" s="11"/>
      <c r="Y94" s="11"/>
      <c r="Z94" s="11"/>
    </row>
    <row r="95">
      <c r="A95" s="8">
        <v>44222.150972222225</v>
      </c>
      <c r="B95" s="9" t="str">
        <f>HYPERLINK("https://twitter.com/MdeMikky","@MdeMikky")</f>
        <v>@MdeMikky</v>
      </c>
      <c r="C95" s="10" t="s">
        <v>532</v>
      </c>
      <c r="D95" s="10" t="s">
        <v>533</v>
      </c>
      <c r="E95" s="9" t="str">
        <f>HYPERLINK("https://twitter.com/MdeMikky/status/1354030675352031232","1354030675352031232")</f>
        <v>1354030675352031232</v>
      </c>
      <c r="F95" s="10" t="s">
        <v>534</v>
      </c>
      <c r="G95" s="12" t="s">
        <v>535</v>
      </c>
      <c r="H95" s="11"/>
      <c r="I95" s="13">
        <v>0.0</v>
      </c>
      <c r="J95" s="13">
        <v>1.0</v>
      </c>
      <c r="K95" s="9" t="str">
        <f>HYPERLINK("https://mobile.twitter.com","Twitter Web App")</f>
        <v>Twitter Web App</v>
      </c>
      <c r="L95" s="14">
        <v>1094.0</v>
      </c>
      <c r="M95" s="14">
        <v>628.0</v>
      </c>
      <c r="N95" s="14">
        <v>25.0</v>
      </c>
      <c r="O95" s="15"/>
      <c r="P95" s="16">
        <v>40658.309953703705</v>
      </c>
      <c r="Q95" s="10" t="s">
        <v>536</v>
      </c>
      <c r="R95" s="10" t="s">
        <v>537</v>
      </c>
      <c r="S95" s="12" t="s">
        <v>538</v>
      </c>
      <c r="T95" s="11"/>
      <c r="U95" s="17" t="str">
        <f>HYPERLINK("https://pbs.twimg.com/profile_images/1335930685908021250/nq0qd25R.jpg","View")</f>
        <v>View</v>
      </c>
      <c r="V95" s="11"/>
      <c r="W95" s="11"/>
      <c r="X95" s="11"/>
      <c r="Y95" s="11"/>
      <c r="Z95" s="11"/>
    </row>
    <row r="96">
      <c r="A96" s="8">
        <v>44222.139456018514</v>
      </c>
      <c r="B96" s="9" t="str">
        <f>HYPERLINK("https://twitter.com/sheltonclyde9","@sheltonclyde9")</f>
        <v>@sheltonclyde9</v>
      </c>
      <c r="C96" s="10" t="s">
        <v>539</v>
      </c>
      <c r="D96" s="10" t="s">
        <v>540</v>
      </c>
      <c r="E96" s="9" t="str">
        <f>HYPERLINK("https://twitter.com/sheltonclyde9/status/1354026503508549633","1354026503508549633")</f>
        <v>1354026503508549633</v>
      </c>
      <c r="F96" s="11"/>
      <c r="G96" s="12" t="s">
        <v>541</v>
      </c>
      <c r="H96" s="11"/>
      <c r="I96" s="13">
        <v>44.0</v>
      </c>
      <c r="J96" s="13">
        <v>67.0</v>
      </c>
      <c r="K96" s="9" t="str">
        <f t="shared" ref="K96:K98" si="19">HYPERLINK("http://twitter.com/download/android","Twitter for Android")</f>
        <v>Twitter for Android</v>
      </c>
      <c r="L96" s="14">
        <v>2362.0</v>
      </c>
      <c r="M96" s="14">
        <v>1064.0</v>
      </c>
      <c r="N96" s="14">
        <v>3.0</v>
      </c>
      <c r="O96" s="15"/>
      <c r="P96" s="16">
        <v>44168.07454861111</v>
      </c>
      <c r="Q96" s="10" t="s">
        <v>542</v>
      </c>
      <c r="R96" s="10" t="s">
        <v>543</v>
      </c>
      <c r="S96" s="11"/>
      <c r="T96" s="11"/>
      <c r="U96" s="17" t="str">
        <f>HYPERLINK("https://pbs.twimg.com/profile_images/1334434543076564992/Q4kfkgiO.jpg","View")</f>
        <v>View</v>
      </c>
      <c r="V96" s="11"/>
      <c r="W96" s="11"/>
      <c r="X96" s="11"/>
      <c r="Y96" s="11"/>
      <c r="Z96" s="11"/>
    </row>
    <row r="97">
      <c r="A97" s="8">
        <v>44222.138703703706</v>
      </c>
      <c r="B97" s="9" t="str">
        <f>HYPERLINK("https://twitter.com/Carlosiden2225","@Carlosiden2225")</f>
        <v>@Carlosiden2225</v>
      </c>
      <c r="C97" s="10" t="s">
        <v>544</v>
      </c>
      <c r="D97" s="10" t="s">
        <v>545</v>
      </c>
      <c r="E97" s="9" t="str">
        <f>HYPERLINK("https://twitter.com/Carlosiden2225/status/1354026228689334272","1354026228689334272")</f>
        <v>1354026228689334272</v>
      </c>
      <c r="F97" s="10" t="s">
        <v>546</v>
      </c>
      <c r="G97" s="11"/>
      <c r="H97" s="11"/>
      <c r="I97" s="13">
        <v>4.0</v>
      </c>
      <c r="J97" s="13">
        <v>6.0</v>
      </c>
      <c r="K97" s="9" t="str">
        <f t="shared" si="19"/>
        <v>Twitter for Android</v>
      </c>
      <c r="L97" s="14">
        <v>5204.0</v>
      </c>
      <c r="M97" s="14">
        <v>5300.0</v>
      </c>
      <c r="N97" s="14">
        <v>3.0</v>
      </c>
      <c r="O97" s="15"/>
      <c r="P97" s="16">
        <v>43630.07928240741</v>
      </c>
      <c r="Q97" s="10" t="s">
        <v>547</v>
      </c>
      <c r="R97" s="10" t="s">
        <v>548</v>
      </c>
      <c r="S97" s="11"/>
      <c r="T97" s="11"/>
      <c r="U97" s="17" t="str">
        <f>HYPERLINK("https://pbs.twimg.com/profile_images/1309914654156652547/uUMWe05H.jpg","View")</f>
        <v>View</v>
      </c>
      <c r="V97" s="11"/>
      <c r="W97" s="11"/>
      <c r="X97" s="11"/>
      <c r="Y97" s="11"/>
      <c r="Z97" s="11"/>
    </row>
    <row r="98">
      <c r="A98" s="8">
        <v>44222.11677083334</v>
      </c>
      <c r="B98" s="9" t="str">
        <f>HYPERLINK("https://twitter.com/Jangelfd","@Jangelfd")</f>
        <v>@Jangelfd</v>
      </c>
      <c r="C98" s="10" t="s">
        <v>549</v>
      </c>
      <c r="D98" s="10" t="s">
        <v>550</v>
      </c>
      <c r="E98" s="9" t="str">
        <f>HYPERLINK("https://twitter.com/Jangelfd/status/1354018283171807233","1354018283171807233")</f>
        <v>1354018283171807233</v>
      </c>
      <c r="F98" s="10" t="s">
        <v>551</v>
      </c>
      <c r="G98" s="11"/>
      <c r="H98" s="11"/>
      <c r="I98" s="13">
        <v>0.0</v>
      </c>
      <c r="J98" s="13">
        <v>0.0</v>
      </c>
      <c r="K98" s="9" t="str">
        <f t="shared" si="19"/>
        <v>Twitter for Android</v>
      </c>
      <c r="L98" s="14">
        <v>483.0</v>
      </c>
      <c r="M98" s="14">
        <v>333.0</v>
      </c>
      <c r="N98" s="14">
        <v>6.0</v>
      </c>
      <c r="O98" s="15"/>
      <c r="P98" s="16">
        <v>39997.1827199074</v>
      </c>
      <c r="Q98" s="10" t="s">
        <v>515</v>
      </c>
      <c r="R98" s="10" t="s">
        <v>552</v>
      </c>
      <c r="S98" s="12" t="s">
        <v>553</v>
      </c>
      <c r="T98" s="11"/>
      <c r="U98" s="17" t="str">
        <f>HYPERLINK("https://pbs.twimg.com/profile_images/1348270469695369220/gNblb1Ld.jpg","View")</f>
        <v>View</v>
      </c>
      <c r="V98" s="11"/>
      <c r="W98" s="11"/>
      <c r="X98" s="11"/>
      <c r="Y98" s="11"/>
      <c r="Z98" s="11"/>
    </row>
    <row r="99">
      <c r="A99" s="8">
        <v>44222.10936342593</v>
      </c>
      <c r="B99" s="9" t="str">
        <f>HYPERLINK("https://twitter.com/Chabacanx","@Chabacanx")</f>
        <v>@Chabacanx</v>
      </c>
      <c r="C99" s="10" t="s">
        <v>554</v>
      </c>
      <c r="D99" s="10" t="s">
        <v>555</v>
      </c>
      <c r="E99" s="9" t="str">
        <f>HYPERLINK("https://twitter.com/Chabacanx/status/1354015598624321536","1354015598624321536")</f>
        <v>1354015598624321536</v>
      </c>
      <c r="F99" s="12" t="s">
        <v>556</v>
      </c>
      <c r="G99" s="11"/>
      <c r="H99" s="11"/>
      <c r="I99" s="13">
        <v>0.0</v>
      </c>
      <c r="J99" s="13">
        <v>1.0</v>
      </c>
      <c r="K99" s="9" t="str">
        <f>HYPERLINK("http://twitter.com/download/iphone","Twitter for iPhone")</f>
        <v>Twitter for iPhone</v>
      </c>
      <c r="L99" s="14">
        <v>1814.0</v>
      </c>
      <c r="M99" s="14">
        <v>419.0</v>
      </c>
      <c r="N99" s="14">
        <v>9.0</v>
      </c>
      <c r="O99" s="15"/>
      <c r="P99" s="16">
        <v>42172.31280092592</v>
      </c>
      <c r="Q99" s="11"/>
      <c r="R99" s="11"/>
      <c r="S99" s="11"/>
      <c r="T99" s="11"/>
      <c r="U99" s="17" t="str">
        <f>HYPERLINK("https://pbs.twimg.com/profile_images/1324531311797772288/RBoH8mCS.jpg","View")</f>
        <v>View</v>
      </c>
      <c r="V99" s="11"/>
      <c r="W99" s="11"/>
      <c r="X99" s="11"/>
      <c r="Y99" s="11"/>
      <c r="Z99" s="11"/>
    </row>
    <row r="100">
      <c r="A100" s="8">
        <v>44222.10461805556</v>
      </c>
      <c r="B100" s="9" t="str">
        <f>HYPERLINK("https://twitter.com/Porompomperros","@Porompomperros")</f>
        <v>@Porompomperros</v>
      </c>
      <c r="C100" s="10" t="s">
        <v>1211</v>
      </c>
      <c r="D100" s="10" t="s">
        <v>1212</v>
      </c>
      <c r="E100" s="9" t="str">
        <f>HYPERLINK("https://twitter.com/Porompomperros/status/1354013877785260034","1354013877785260034")</f>
        <v>1354013877785260034</v>
      </c>
      <c r="F100" s="12" t="s">
        <v>1213</v>
      </c>
      <c r="G100" s="11"/>
      <c r="H100" s="11"/>
      <c r="I100" s="13">
        <v>0.0</v>
      </c>
      <c r="J100" s="13">
        <v>0.0</v>
      </c>
      <c r="K100" s="9" t="str">
        <f>HYPERLINK("https://mobile.twitter.com","Twitter Web App")</f>
        <v>Twitter Web App</v>
      </c>
      <c r="L100" s="14">
        <v>1399.0</v>
      </c>
      <c r="M100" s="14">
        <v>2253.0</v>
      </c>
      <c r="N100" s="14">
        <v>1.0</v>
      </c>
      <c r="O100" s="15"/>
      <c r="P100" s="16">
        <v>43566.672685185185</v>
      </c>
      <c r="Q100" s="10" t="s">
        <v>1214</v>
      </c>
      <c r="R100" s="10" t="s">
        <v>1215</v>
      </c>
      <c r="S100" s="11"/>
      <c r="T100" s="11"/>
      <c r="U100" s="17" t="str">
        <f>HYPERLINK("https://pbs.twimg.com/profile_images/1330618009275265035/ZyFv4eYY.jpg","View")</f>
        <v>View</v>
      </c>
      <c r="V100" s="11"/>
      <c r="W100" s="11"/>
      <c r="X100" s="11"/>
      <c r="Y100" s="11"/>
      <c r="Z100" s="11"/>
    </row>
    <row r="101">
      <c r="A101" s="8">
        <v>44222.09597222222</v>
      </c>
      <c r="B101" s="9" t="str">
        <f>HYPERLINK("https://twitter.com/danielagares","@danielagares")</f>
        <v>@danielagares</v>
      </c>
      <c r="C101" s="10" t="s">
        <v>557</v>
      </c>
      <c r="D101" s="10" t="s">
        <v>558</v>
      </c>
      <c r="E101" s="9" t="str">
        <f>HYPERLINK("https://twitter.com/danielagares/status/1354010746015928320","1354010746015928320")</f>
        <v>1354010746015928320</v>
      </c>
      <c r="F101" s="10" t="s">
        <v>559</v>
      </c>
      <c r="G101" s="12" t="s">
        <v>560</v>
      </c>
      <c r="H101" s="11"/>
      <c r="I101" s="13">
        <v>1.0</v>
      </c>
      <c r="J101" s="13">
        <v>10.0</v>
      </c>
      <c r="K101" s="9" t="str">
        <f t="shared" ref="K101:K102" si="20">HYPERLINK("http://twitter.com/download/iphone","Twitter for iPhone")</f>
        <v>Twitter for iPhone</v>
      </c>
      <c r="L101" s="14">
        <v>891.0</v>
      </c>
      <c r="M101" s="14">
        <v>1225.0</v>
      </c>
      <c r="N101" s="14">
        <v>1.0</v>
      </c>
      <c r="O101" s="15"/>
      <c r="P101" s="16">
        <v>40883.569606481484</v>
      </c>
      <c r="Q101" s="10" t="s">
        <v>561</v>
      </c>
      <c r="R101" s="10" t="s">
        <v>562</v>
      </c>
      <c r="S101" s="11"/>
      <c r="T101" s="11"/>
      <c r="U101" s="17" t="str">
        <f>HYPERLINK("https://pbs.twimg.com/profile_images/1232122188096032768/PRXaGlcP.jpg","View")</f>
        <v>View</v>
      </c>
      <c r="V101" s="11"/>
      <c r="W101" s="11"/>
      <c r="X101" s="11"/>
      <c r="Y101" s="11"/>
      <c r="Z101" s="11"/>
    </row>
    <row r="102">
      <c r="A102" s="8">
        <v>44222.03836805555</v>
      </c>
      <c r="B102" s="9" t="str">
        <f>HYPERLINK("https://twitter.com/condepalatino","@condepalatino")</f>
        <v>@condepalatino</v>
      </c>
      <c r="C102" s="10" t="s">
        <v>563</v>
      </c>
      <c r="D102" s="10" t="s">
        <v>564</v>
      </c>
      <c r="E102" s="9" t="str">
        <f>HYPERLINK("https://twitter.com/condepalatino/status/1353989867622060034","1353989867622060034")</f>
        <v>1353989867622060034</v>
      </c>
      <c r="F102" s="12" t="s">
        <v>565</v>
      </c>
      <c r="G102" s="11"/>
      <c r="H102" s="11"/>
      <c r="I102" s="13">
        <v>0.0</v>
      </c>
      <c r="J102" s="13">
        <v>1.0</v>
      </c>
      <c r="K102" s="9" t="str">
        <f t="shared" si="20"/>
        <v>Twitter for iPhone</v>
      </c>
      <c r="L102" s="14">
        <v>1257.0</v>
      </c>
      <c r="M102" s="14">
        <v>1208.0</v>
      </c>
      <c r="N102" s="14">
        <v>2.0</v>
      </c>
      <c r="O102" s="15"/>
      <c r="P102" s="16">
        <v>42888.50221064815</v>
      </c>
      <c r="Q102" s="10" t="s">
        <v>515</v>
      </c>
      <c r="R102" s="10" t="s">
        <v>566</v>
      </c>
      <c r="S102" s="11"/>
      <c r="T102" s="11"/>
      <c r="U102" s="17" t="str">
        <f>HYPERLINK("https://pbs.twimg.com/profile_images/902078108756578304/GVoB0s1K.jpg","View")</f>
        <v>View</v>
      </c>
      <c r="V102" s="11"/>
      <c r="W102" s="11"/>
      <c r="X102" s="11"/>
      <c r="Y102" s="11"/>
      <c r="Z102" s="11"/>
    </row>
    <row r="103">
      <c r="A103" s="18"/>
      <c r="B103" s="11"/>
      <c r="C103" s="11"/>
      <c r="D103" s="11"/>
      <c r="E103" s="11"/>
      <c r="F103" s="11"/>
      <c r="G103" s="11"/>
      <c r="H103" s="11"/>
      <c r="I103" s="11"/>
      <c r="J103" s="11"/>
      <c r="K103" s="11"/>
      <c r="L103" s="15"/>
      <c r="M103" s="15"/>
      <c r="N103" s="15"/>
      <c r="O103" s="15"/>
      <c r="P103" s="15"/>
      <c r="Q103" s="11"/>
      <c r="R103" s="11"/>
      <c r="S103" s="11"/>
      <c r="T103" s="11"/>
      <c r="U103" s="15"/>
      <c r="V103" s="11"/>
      <c r="W103" s="11"/>
      <c r="X103" s="11"/>
      <c r="Y103" s="11"/>
      <c r="Z103" s="11"/>
    </row>
    <row r="104">
      <c r="A104" s="18"/>
      <c r="B104" s="11"/>
      <c r="C104" s="11"/>
      <c r="D104" s="11"/>
      <c r="E104" s="11"/>
      <c r="F104" s="11"/>
      <c r="G104" s="11"/>
      <c r="H104" s="11"/>
      <c r="I104" s="11"/>
      <c r="J104" s="11"/>
      <c r="K104" s="11"/>
      <c r="L104" s="15"/>
      <c r="M104" s="15"/>
      <c r="N104" s="15"/>
      <c r="O104" s="15"/>
      <c r="P104" s="15"/>
      <c r="Q104" s="11"/>
      <c r="R104" s="11"/>
      <c r="S104" s="11"/>
      <c r="T104" s="11"/>
      <c r="U104" s="15"/>
      <c r="V104" s="11"/>
      <c r="W104" s="11"/>
      <c r="X104" s="11"/>
      <c r="Y104" s="11"/>
      <c r="Z104" s="11"/>
    </row>
    <row r="105">
      <c r="A105" s="18"/>
      <c r="B105" s="11"/>
      <c r="C105" s="11"/>
      <c r="D105" s="11"/>
      <c r="E105" s="11"/>
      <c r="F105" s="11"/>
      <c r="G105" s="11"/>
      <c r="H105" s="11"/>
      <c r="I105" s="11"/>
      <c r="J105" s="11"/>
      <c r="K105" s="11"/>
      <c r="L105" s="15"/>
      <c r="M105" s="15"/>
      <c r="N105" s="15"/>
      <c r="O105" s="15"/>
      <c r="P105" s="15"/>
      <c r="Q105" s="11"/>
      <c r="R105" s="11"/>
      <c r="S105" s="11"/>
      <c r="T105" s="11"/>
      <c r="U105" s="15"/>
      <c r="V105" s="11"/>
      <c r="W105" s="11"/>
      <c r="X105" s="11"/>
      <c r="Y105" s="11"/>
      <c r="Z105" s="11"/>
    </row>
    <row r="106">
      <c r="A106" s="18"/>
      <c r="B106" s="11"/>
      <c r="C106" s="11"/>
      <c r="D106" s="11"/>
      <c r="E106" s="11"/>
      <c r="F106" s="11"/>
      <c r="G106" s="11"/>
      <c r="H106" s="11"/>
      <c r="I106" s="11"/>
      <c r="J106" s="11"/>
      <c r="K106" s="11"/>
      <c r="L106" s="15"/>
      <c r="M106" s="15"/>
      <c r="N106" s="15"/>
      <c r="O106" s="15"/>
      <c r="P106" s="15"/>
      <c r="Q106" s="11"/>
      <c r="R106" s="11"/>
      <c r="S106" s="11"/>
      <c r="T106" s="11"/>
      <c r="U106" s="15"/>
      <c r="V106" s="11"/>
      <c r="W106" s="11"/>
      <c r="X106" s="11"/>
      <c r="Y106" s="11"/>
      <c r="Z106" s="11"/>
    </row>
    <row r="107">
      <c r="A107" s="18"/>
      <c r="B107" s="11"/>
      <c r="C107" s="11"/>
      <c r="D107" s="11"/>
      <c r="E107" s="11"/>
      <c r="F107" s="11"/>
      <c r="G107" s="11"/>
      <c r="H107" s="11"/>
      <c r="I107" s="11"/>
      <c r="J107" s="11"/>
      <c r="K107" s="11"/>
      <c r="L107" s="15"/>
      <c r="M107" s="15"/>
      <c r="N107" s="15"/>
      <c r="O107" s="15"/>
      <c r="P107" s="15"/>
      <c r="Q107" s="11"/>
      <c r="R107" s="11"/>
      <c r="S107" s="11"/>
      <c r="T107" s="11"/>
      <c r="U107" s="15"/>
      <c r="V107" s="11"/>
      <c r="W107" s="11"/>
      <c r="X107" s="11"/>
      <c r="Y107" s="11"/>
      <c r="Z107" s="11"/>
    </row>
    <row r="108">
      <c r="A108" s="18"/>
      <c r="B108" s="11"/>
      <c r="C108" s="11"/>
      <c r="D108" s="11"/>
      <c r="E108" s="11"/>
      <c r="F108" s="11"/>
      <c r="G108" s="11"/>
      <c r="H108" s="11"/>
      <c r="I108" s="11"/>
      <c r="J108" s="11"/>
      <c r="K108" s="11"/>
      <c r="L108" s="15"/>
      <c r="M108" s="15"/>
      <c r="N108" s="15"/>
      <c r="O108" s="15"/>
      <c r="P108" s="15"/>
      <c r="Q108" s="11"/>
      <c r="R108" s="11"/>
      <c r="S108" s="11"/>
      <c r="T108" s="11"/>
      <c r="U108" s="15"/>
      <c r="V108" s="11"/>
      <c r="W108" s="11"/>
      <c r="X108" s="11"/>
      <c r="Y108" s="11"/>
      <c r="Z108" s="11"/>
    </row>
    <row r="109">
      <c r="A109" s="18"/>
      <c r="B109" s="11"/>
      <c r="C109" s="11"/>
      <c r="D109" s="11"/>
      <c r="E109" s="11"/>
      <c r="F109" s="11"/>
      <c r="G109" s="11"/>
      <c r="H109" s="11"/>
      <c r="I109" s="11"/>
      <c r="J109" s="11"/>
      <c r="K109" s="11"/>
      <c r="L109" s="15"/>
      <c r="M109" s="15"/>
      <c r="N109" s="15"/>
      <c r="O109" s="15"/>
      <c r="P109" s="15"/>
      <c r="Q109" s="11"/>
      <c r="R109" s="11"/>
      <c r="S109" s="11"/>
      <c r="T109" s="11"/>
      <c r="U109" s="15"/>
      <c r="V109" s="11"/>
      <c r="W109" s="11"/>
      <c r="X109" s="11"/>
      <c r="Y109" s="11"/>
      <c r="Z109" s="11"/>
    </row>
    <row r="110">
      <c r="A110" s="18"/>
      <c r="B110" s="11"/>
      <c r="C110" s="11"/>
      <c r="D110" s="11"/>
      <c r="E110" s="11"/>
      <c r="F110" s="11"/>
      <c r="G110" s="11"/>
      <c r="H110" s="11"/>
      <c r="I110" s="11"/>
      <c r="J110" s="11"/>
      <c r="K110" s="11"/>
      <c r="L110" s="15"/>
      <c r="M110" s="15"/>
      <c r="N110" s="15"/>
      <c r="O110" s="15"/>
      <c r="P110" s="15"/>
      <c r="Q110" s="11"/>
      <c r="R110" s="11"/>
      <c r="S110" s="11"/>
      <c r="T110" s="11"/>
      <c r="U110" s="15"/>
      <c r="V110" s="11"/>
      <c r="W110" s="11"/>
      <c r="X110" s="11"/>
      <c r="Y110" s="11"/>
      <c r="Z110" s="11"/>
    </row>
    <row r="111">
      <c r="A111" s="18"/>
      <c r="B111" s="11"/>
      <c r="C111" s="11"/>
      <c r="D111" s="11"/>
      <c r="E111" s="11"/>
      <c r="F111" s="11"/>
      <c r="G111" s="11"/>
      <c r="H111" s="11"/>
      <c r="I111" s="11"/>
      <c r="J111" s="11"/>
      <c r="K111" s="11"/>
      <c r="L111" s="15"/>
      <c r="M111" s="15"/>
      <c r="N111" s="15"/>
      <c r="O111" s="15"/>
      <c r="P111" s="15"/>
      <c r="Q111" s="11"/>
      <c r="R111" s="11"/>
      <c r="S111" s="11"/>
      <c r="T111" s="11"/>
      <c r="U111" s="15"/>
      <c r="V111" s="11"/>
      <c r="W111" s="11"/>
      <c r="X111" s="11"/>
      <c r="Y111" s="11"/>
      <c r="Z111" s="11"/>
    </row>
    <row r="112">
      <c r="A112" s="18"/>
      <c r="B112" s="11"/>
      <c r="C112" s="11"/>
      <c r="D112" s="11"/>
      <c r="E112" s="11"/>
      <c r="F112" s="11"/>
      <c r="G112" s="11"/>
      <c r="H112" s="11"/>
      <c r="I112" s="11"/>
      <c r="J112" s="11"/>
      <c r="K112" s="11"/>
      <c r="L112" s="15"/>
      <c r="M112" s="15"/>
      <c r="N112" s="15"/>
      <c r="O112" s="15"/>
      <c r="P112" s="15"/>
      <c r="Q112" s="11"/>
      <c r="R112" s="11"/>
      <c r="S112" s="11"/>
      <c r="T112" s="11"/>
      <c r="U112" s="15"/>
      <c r="V112" s="11"/>
      <c r="W112" s="11"/>
      <c r="X112" s="11"/>
      <c r="Y112" s="11"/>
      <c r="Z112" s="11"/>
    </row>
    <row r="113">
      <c r="A113" s="18"/>
      <c r="B113" s="11"/>
      <c r="C113" s="11"/>
      <c r="D113" s="11"/>
      <c r="E113" s="11"/>
      <c r="F113" s="11"/>
      <c r="G113" s="11"/>
      <c r="H113" s="11"/>
      <c r="I113" s="11"/>
      <c r="J113" s="11"/>
      <c r="K113" s="11"/>
      <c r="L113" s="15"/>
      <c r="M113" s="15"/>
      <c r="N113" s="15"/>
      <c r="O113" s="15"/>
      <c r="P113" s="15"/>
      <c r="Q113" s="11"/>
      <c r="R113" s="11"/>
      <c r="S113" s="11"/>
      <c r="T113" s="11"/>
      <c r="U113" s="15"/>
      <c r="V113" s="11"/>
      <c r="W113" s="11"/>
      <c r="X113" s="11"/>
      <c r="Y113" s="11"/>
      <c r="Z113" s="11"/>
    </row>
    <row r="114">
      <c r="A114" s="18"/>
      <c r="B114" s="11"/>
      <c r="C114" s="11"/>
      <c r="D114" s="11"/>
      <c r="E114" s="11"/>
      <c r="F114" s="11"/>
      <c r="G114" s="11"/>
      <c r="H114" s="11"/>
      <c r="I114" s="11"/>
      <c r="J114" s="11"/>
      <c r="K114" s="11"/>
      <c r="L114" s="15"/>
      <c r="M114" s="15"/>
      <c r="N114" s="15"/>
      <c r="O114" s="15"/>
      <c r="P114" s="15"/>
      <c r="Q114" s="11"/>
      <c r="R114" s="11"/>
      <c r="S114" s="11"/>
      <c r="T114" s="11"/>
      <c r="U114" s="15"/>
      <c r="V114" s="11"/>
      <c r="W114" s="11"/>
      <c r="X114" s="11"/>
      <c r="Y114" s="11"/>
      <c r="Z114" s="11"/>
    </row>
    <row r="115">
      <c r="A115" s="18"/>
      <c r="B115" s="11"/>
      <c r="C115" s="11"/>
      <c r="D115" s="11"/>
      <c r="E115" s="11"/>
      <c r="F115" s="11"/>
      <c r="G115" s="11"/>
      <c r="H115" s="11"/>
      <c r="I115" s="11"/>
      <c r="J115" s="11"/>
      <c r="K115" s="11"/>
      <c r="L115" s="15"/>
      <c r="M115" s="15"/>
      <c r="N115" s="15"/>
      <c r="O115" s="15"/>
      <c r="P115" s="15"/>
      <c r="Q115" s="11"/>
      <c r="R115" s="11"/>
      <c r="S115" s="11"/>
      <c r="T115" s="11"/>
      <c r="U115" s="15"/>
      <c r="V115" s="11"/>
      <c r="W115" s="11"/>
      <c r="X115" s="11"/>
      <c r="Y115" s="11"/>
      <c r="Z115" s="11"/>
    </row>
    <row r="116">
      <c r="A116" s="18"/>
      <c r="B116" s="11"/>
      <c r="C116" s="11"/>
      <c r="D116" s="11"/>
      <c r="E116" s="11"/>
      <c r="F116" s="11"/>
      <c r="G116" s="11"/>
      <c r="H116" s="11"/>
      <c r="I116" s="11"/>
      <c r="J116" s="11"/>
      <c r="K116" s="11"/>
      <c r="L116" s="15"/>
      <c r="M116" s="15"/>
      <c r="N116" s="15"/>
      <c r="O116" s="15"/>
      <c r="P116" s="15"/>
      <c r="Q116" s="11"/>
      <c r="R116" s="11"/>
      <c r="S116" s="11"/>
      <c r="T116" s="11"/>
      <c r="U116" s="15"/>
      <c r="V116" s="11"/>
      <c r="W116" s="11"/>
      <c r="X116" s="11"/>
      <c r="Y116" s="11"/>
      <c r="Z116" s="11"/>
    </row>
    <row r="117">
      <c r="A117" s="18"/>
      <c r="B117" s="11"/>
      <c r="C117" s="11"/>
      <c r="D117" s="11"/>
      <c r="E117" s="11"/>
      <c r="F117" s="11"/>
      <c r="G117" s="11"/>
      <c r="H117" s="11"/>
      <c r="I117" s="11"/>
      <c r="J117" s="11"/>
      <c r="K117" s="11"/>
      <c r="L117" s="15"/>
      <c r="M117" s="15"/>
      <c r="N117" s="15"/>
      <c r="O117" s="15"/>
      <c r="P117" s="15"/>
      <c r="Q117" s="11"/>
      <c r="R117" s="11"/>
      <c r="S117" s="11"/>
      <c r="T117" s="11"/>
      <c r="U117" s="15"/>
      <c r="V117" s="11"/>
      <c r="W117" s="11"/>
      <c r="X117" s="11"/>
      <c r="Y117" s="11"/>
      <c r="Z117" s="11"/>
    </row>
    <row r="118">
      <c r="A118" s="18"/>
      <c r="B118" s="11"/>
      <c r="C118" s="11"/>
      <c r="D118" s="11"/>
      <c r="E118" s="11"/>
      <c r="F118" s="11"/>
      <c r="G118" s="11"/>
      <c r="H118" s="11"/>
      <c r="I118" s="11"/>
      <c r="J118" s="11"/>
      <c r="K118" s="11"/>
      <c r="L118" s="15"/>
      <c r="M118" s="15"/>
      <c r="N118" s="15"/>
      <c r="O118" s="15"/>
      <c r="P118" s="15"/>
      <c r="Q118" s="11"/>
      <c r="R118" s="11"/>
      <c r="S118" s="11"/>
      <c r="T118" s="11"/>
      <c r="U118" s="15"/>
      <c r="V118" s="11"/>
      <c r="W118" s="11"/>
      <c r="X118" s="11"/>
      <c r="Y118" s="11"/>
      <c r="Z118" s="11"/>
    </row>
    <row r="119">
      <c r="A119" s="18"/>
      <c r="B119" s="11"/>
      <c r="C119" s="11"/>
      <c r="D119" s="11"/>
      <c r="E119" s="11"/>
      <c r="F119" s="11"/>
      <c r="G119" s="11"/>
      <c r="H119" s="11"/>
      <c r="I119" s="11"/>
      <c r="J119" s="11"/>
      <c r="K119" s="11"/>
      <c r="L119" s="15"/>
      <c r="M119" s="15"/>
      <c r="N119" s="15"/>
      <c r="O119" s="15"/>
      <c r="P119" s="15"/>
      <c r="Q119" s="11"/>
      <c r="R119" s="11"/>
      <c r="S119" s="11"/>
      <c r="T119" s="11"/>
      <c r="U119" s="15"/>
      <c r="V119" s="11"/>
      <c r="W119" s="11"/>
      <c r="X119" s="11"/>
      <c r="Y119" s="11"/>
      <c r="Z119" s="11"/>
    </row>
    <row r="120">
      <c r="A120" s="18"/>
      <c r="B120" s="11"/>
      <c r="C120" s="11"/>
      <c r="D120" s="11"/>
      <c r="E120" s="11"/>
      <c r="F120" s="11"/>
      <c r="G120" s="11"/>
      <c r="H120" s="11"/>
      <c r="I120" s="11"/>
      <c r="J120" s="11"/>
      <c r="K120" s="11"/>
      <c r="L120" s="15"/>
      <c r="M120" s="15"/>
      <c r="N120" s="15"/>
      <c r="O120" s="15"/>
      <c r="P120" s="15"/>
      <c r="Q120" s="11"/>
      <c r="R120" s="11"/>
      <c r="S120" s="11"/>
      <c r="T120" s="11"/>
      <c r="U120" s="15"/>
      <c r="V120" s="11"/>
      <c r="W120" s="11"/>
      <c r="X120" s="11"/>
      <c r="Y120" s="11"/>
      <c r="Z120" s="11"/>
    </row>
    <row r="121">
      <c r="A121" s="18"/>
      <c r="B121" s="11"/>
      <c r="C121" s="11"/>
      <c r="D121" s="11"/>
      <c r="E121" s="11"/>
      <c r="F121" s="11"/>
      <c r="G121" s="11"/>
      <c r="H121" s="11"/>
      <c r="I121" s="11"/>
      <c r="J121" s="11"/>
      <c r="K121" s="11"/>
      <c r="L121" s="15"/>
      <c r="M121" s="15"/>
      <c r="N121" s="15"/>
      <c r="O121" s="15"/>
      <c r="P121" s="15"/>
      <c r="Q121" s="11"/>
      <c r="R121" s="11"/>
      <c r="S121" s="11"/>
      <c r="T121" s="11"/>
      <c r="U121" s="15"/>
      <c r="V121" s="11"/>
      <c r="W121" s="11"/>
      <c r="X121" s="11"/>
      <c r="Y121" s="11"/>
      <c r="Z121" s="11"/>
    </row>
    <row r="122">
      <c r="A122" s="18"/>
      <c r="B122" s="11"/>
      <c r="C122" s="11"/>
      <c r="D122" s="11"/>
      <c r="E122" s="11"/>
      <c r="F122" s="11"/>
      <c r="G122" s="11"/>
      <c r="H122" s="11"/>
      <c r="I122" s="11"/>
      <c r="J122" s="11"/>
      <c r="K122" s="11"/>
      <c r="L122" s="15"/>
      <c r="M122" s="15"/>
      <c r="N122" s="15"/>
      <c r="O122" s="15"/>
      <c r="P122" s="15"/>
      <c r="Q122" s="11"/>
      <c r="R122" s="11"/>
      <c r="S122" s="11"/>
      <c r="T122" s="11"/>
      <c r="U122" s="15"/>
      <c r="V122" s="11"/>
      <c r="W122" s="11"/>
      <c r="X122" s="11"/>
      <c r="Y122" s="11"/>
      <c r="Z122" s="11"/>
    </row>
    <row r="123">
      <c r="A123" s="18"/>
      <c r="B123" s="11"/>
      <c r="C123" s="11"/>
      <c r="D123" s="11"/>
      <c r="E123" s="11"/>
      <c r="F123" s="11"/>
      <c r="G123" s="11"/>
      <c r="H123" s="11"/>
      <c r="I123" s="11"/>
      <c r="J123" s="11"/>
      <c r="K123" s="11"/>
      <c r="L123" s="15"/>
      <c r="M123" s="15"/>
      <c r="N123" s="15"/>
      <c r="O123" s="15"/>
      <c r="P123" s="15"/>
      <c r="Q123" s="11"/>
      <c r="R123" s="11"/>
      <c r="S123" s="11"/>
      <c r="T123" s="11"/>
      <c r="U123" s="15"/>
      <c r="V123" s="11"/>
      <c r="W123" s="11"/>
      <c r="X123" s="11"/>
      <c r="Y123" s="11"/>
      <c r="Z123" s="11"/>
    </row>
    <row r="124">
      <c r="A124" s="18"/>
      <c r="B124" s="11"/>
      <c r="C124" s="11"/>
      <c r="D124" s="11"/>
      <c r="E124" s="11"/>
      <c r="F124" s="11"/>
      <c r="G124" s="11"/>
      <c r="H124" s="11"/>
      <c r="I124" s="11"/>
      <c r="J124" s="11"/>
      <c r="K124" s="11"/>
      <c r="L124" s="15"/>
      <c r="M124" s="15"/>
      <c r="N124" s="15"/>
      <c r="O124" s="15"/>
      <c r="P124" s="15"/>
      <c r="Q124" s="11"/>
      <c r="R124" s="11"/>
      <c r="S124" s="11"/>
      <c r="T124" s="11"/>
      <c r="U124" s="15"/>
      <c r="V124" s="11"/>
      <c r="W124" s="11"/>
      <c r="X124" s="11"/>
      <c r="Y124" s="11"/>
      <c r="Z124" s="11"/>
    </row>
    <row r="125">
      <c r="A125" s="18"/>
      <c r="B125" s="11"/>
      <c r="C125" s="11"/>
      <c r="D125" s="11"/>
      <c r="E125" s="11"/>
      <c r="F125" s="11"/>
      <c r="G125" s="11"/>
      <c r="H125" s="11"/>
      <c r="I125" s="11"/>
      <c r="J125" s="11"/>
      <c r="K125" s="11"/>
      <c r="L125" s="15"/>
      <c r="M125" s="15"/>
      <c r="N125" s="15"/>
      <c r="O125" s="15"/>
      <c r="P125" s="15"/>
      <c r="Q125" s="11"/>
      <c r="R125" s="11"/>
      <c r="S125" s="11"/>
      <c r="T125" s="11"/>
      <c r="U125" s="15"/>
      <c r="V125" s="11"/>
      <c r="W125" s="11"/>
      <c r="X125" s="11"/>
      <c r="Y125" s="11"/>
      <c r="Z125" s="11"/>
    </row>
    <row r="126">
      <c r="A126" s="18"/>
      <c r="B126" s="11"/>
      <c r="C126" s="11"/>
      <c r="D126" s="11"/>
      <c r="E126" s="11"/>
      <c r="F126" s="11"/>
      <c r="G126" s="11"/>
      <c r="H126" s="11"/>
      <c r="I126" s="11"/>
      <c r="J126" s="11"/>
      <c r="K126" s="11"/>
      <c r="L126" s="15"/>
      <c r="M126" s="15"/>
      <c r="N126" s="15"/>
      <c r="O126" s="15"/>
      <c r="P126" s="15"/>
      <c r="Q126" s="11"/>
      <c r="R126" s="11"/>
      <c r="S126" s="11"/>
      <c r="T126" s="11"/>
      <c r="U126" s="15"/>
      <c r="V126" s="11"/>
      <c r="W126" s="11"/>
      <c r="X126" s="11"/>
      <c r="Y126" s="11"/>
      <c r="Z126" s="11"/>
    </row>
    <row r="127">
      <c r="A127" s="18"/>
      <c r="B127" s="11"/>
      <c r="C127" s="11"/>
      <c r="D127" s="11"/>
      <c r="E127" s="11"/>
      <c r="F127" s="11"/>
      <c r="G127" s="11"/>
      <c r="H127" s="11"/>
      <c r="I127" s="11"/>
      <c r="J127" s="11"/>
      <c r="K127" s="11"/>
      <c r="L127" s="15"/>
      <c r="M127" s="15"/>
      <c r="N127" s="15"/>
      <c r="O127" s="15"/>
      <c r="P127" s="15"/>
      <c r="Q127" s="11"/>
      <c r="R127" s="11"/>
      <c r="S127" s="11"/>
      <c r="T127" s="11"/>
      <c r="U127" s="15"/>
      <c r="V127" s="11"/>
      <c r="W127" s="11"/>
      <c r="X127" s="11"/>
      <c r="Y127" s="11"/>
      <c r="Z127" s="11"/>
    </row>
    <row r="128">
      <c r="A128" s="18"/>
      <c r="B128" s="11"/>
      <c r="C128" s="11"/>
      <c r="D128" s="11"/>
      <c r="E128" s="11"/>
      <c r="F128" s="11"/>
      <c r="G128" s="11"/>
      <c r="H128" s="11"/>
      <c r="I128" s="11"/>
      <c r="J128" s="11"/>
      <c r="K128" s="11"/>
      <c r="L128" s="15"/>
      <c r="M128" s="15"/>
      <c r="N128" s="15"/>
      <c r="O128" s="15"/>
      <c r="P128" s="15"/>
      <c r="Q128" s="11"/>
      <c r="R128" s="11"/>
      <c r="S128" s="11"/>
      <c r="T128" s="11"/>
      <c r="U128" s="15"/>
      <c r="V128" s="11"/>
      <c r="W128" s="11"/>
      <c r="X128" s="11"/>
      <c r="Y128" s="11"/>
      <c r="Z128" s="11"/>
    </row>
    <row r="129">
      <c r="A129" s="18"/>
      <c r="B129" s="11"/>
      <c r="C129" s="11"/>
      <c r="D129" s="11"/>
      <c r="E129" s="11"/>
      <c r="F129" s="11"/>
      <c r="G129" s="11"/>
      <c r="H129" s="11"/>
      <c r="I129" s="11"/>
      <c r="J129" s="11"/>
      <c r="K129" s="11"/>
      <c r="L129" s="15"/>
      <c r="M129" s="15"/>
      <c r="N129" s="15"/>
      <c r="O129" s="15"/>
      <c r="P129" s="15"/>
      <c r="Q129" s="11"/>
      <c r="R129" s="11"/>
      <c r="S129" s="11"/>
      <c r="T129" s="11"/>
      <c r="U129" s="15"/>
      <c r="V129" s="11"/>
      <c r="W129" s="11"/>
      <c r="X129" s="11"/>
      <c r="Y129" s="11"/>
      <c r="Z129" s="11"/>
    </row>
    <row r="130">
      <c r="A130" s="18"/>
      <c r="B130" s="11"/>
      <c r="C130" s="11"/>
      <c r="D130" s="11"/>
      <c r="E130" s="11"/>
      <c r="F130" s="11"/>
      <c r="G130" s="11"/>
      <c r="H130" s="11"/>
      <c r="I130" s="11"/>
      <c r="J130" s="11"/>
      <c r="K130" s="11"/>
      <c r="L130" s="15"/>
      <c r="M130" s="15"/>
      <c r="N130" s="15"/>
      <c r="O130" s="15"/>
      <c r="P130" s="15"/>
      <c r="Q130" s="11"/>
      <c r="R130" s="11"/>
      <c r="S130" s="11"/>
      <c r="T130" s="11"/>
      <c r="U130" s="15"/>
      <c r="V130" s="11"/>
      <c r="W130" s="11"/>
      <c r="X130" s="11"/>
      <c r="Y130" s="11"/>
      <c r="Z130" s="11"/>
    </row>
    <row r="131">
      <c r="A131" s="18"/>
      <c r="B131" s="11"/>
      <c r="C131" s="11"/>
      <c r="D131" s="11"/>
      <c r="E131" s="11"/>
      <c r="F131" s="11"/>
      <c r="G131" s="11"/>
      <c r="H131" s="11"/>
      <c r="I131" s="11"/>
      <c r="J131" s="11"/>
      <c r="K131" s="11"/>
      <c r="L131" s="15"/>
      <c r="M131" s="15"/>
      <c r="N131" s="15"/>
      <c r="O131" s="15"/>
      <c r="P131" s="15"/>
      <c r="Q131" s="11"/>
      <c r="R131" s="11"/>
      <c r="S131" s="11"/>
      <c r="T131" s="11"/>
      <c r="U131" s="15"/>
      <c r="V131" s="11"/>
      <c r="W131" s="11"/>
      <c r="X131" s="11"/>
      <c r="Y131" s="11"/>
      <c r="Z131" s="11"/>
    </row>
    <row r="132">
      <c r="A132" s="18"/>
      <c r="B132" s="11"/>
      <c r="C132" s="11"/>
      <c r="D132" s="11"/>
      <c r="E132" s="11"/>
      <c r="F132" s="11"/>
      <c r="G132" s="11"/>
      <c r="H132" s="11"/>
      <c r="I132" s="11"/>
      <c r="J132" s="11"/>
      <c r="K132" s="11"/>
      <c r="L132" s="15"/>
      <c r="M132" s="15"/>
      <c r="N132" s="15"/>
      <c r="O132" s="15"/>
      <c r="P132" s="15"/>
      <c r="Q132" s="11"/>
      <c r="R132" s="11"/>
      <c r="S132" s="11"/>
      <c r="T132" s="11"/>
      <c r="U132" s="15"/>
      <c r="V132" s="11"/>
      <c r="W132" s="11"/>
      <c r="X132" s="11"/>
      <c r="Y132" s="11"/>
      <c r="Z132" s="11"/>
    </row>
    <row r="133">
      <c r="A133" s="18"/>
      <c r="B133" s="11"/>
      <c r="C133" s="11"/>
      <c r="D133" s="11"/>
      <c r="E133" s="11"/>
      <c r="F133" s="11"/>
      <c r="G133" s="11"/>
      <c r="H133" s="11"/>
      <c r="I133" s="11"/>
      <c r="J133" s="11"/>
      <c r="K133" s="11"/>
      <c r="L133" s="15"/>
      <c r="M133" s="15"/>
      <c r="N133" s="15"/>
      <c r="O133" s="15"/>
      <c r="P133" s="15"/>
      <c r="Q133" s="11"/>
      <c r="R133" s="11"/>
      <c r="S133" s="11"/>
      <c r="T133" s="11"/>
      <c r="U133" s="15"/>
      <c r="V133" s="11"/>
      <c r="W133" s="11"/>
      <c r="X133" s="11"/>
      <c r="Y133" s="11"/>
      <c r="Z133" s="11"/>
    </row>
    <row r="134">
      <c r="A134" s="18"/>
      <c r="B134" s="11"/>
      <c r="C134" s="11"/>
      <c r="D134" s="11"/>
      <c r="E134" s="11"/>
      <c r="F134" s="11"/>
      <c r="G134" s="11"/>
      <c r="H134" s="11"/>
      <c r="I134" s="11"/>
      <c r="J134" s="11"/>
      <c r="K134" s="11"/>
      <c r="L134" s="15"/>
      <c r="M134" s="15"/>
      <c r="N134" s="15"/>
      <c r="O134" s="15"/>
      <c r="P134" s="15"/>
      <c r="Q134" s="11"/>
      <c r="R134" s="11"/>
      <c r="S134" s="11"/>
      <c r="T134" s="11"/>
      <c r="U134" s="15"/>
      <c r="V134" s="11"/>
      <c r="W134" s="11"/>
      <c r="X134" s="11"/>
      <c r="Y134" s="11"/>
      <c r="Z134" s="11"/>
    </row>
    <row r="135">
      <c r="A135" s="18"/>
      <c r="B135" s="11"/>
      <c r="C135" s="11"/>
      <c r="D135" s="11"/>
      <c r="E135" s="11"/>
      <c r="F135" s="11"/>
      <c r="G135" s="11"/>
      <c r="H135" s="11"/>
      <c r="I135" s="11"/>
      <c r="J135" s="11"/>
      <c r="K135" s="11"/>
      <c r="L135" s="15"/>
      <c r="M135" s="15"/>
      <c r="N135" s="15"/>
      <c r="O135" s="15"/>
      <c r="P135" s="15"/>
      <c r="Q135" s="11"/>
      <c r="R135" s="11"/>
      <c r="S135" s="11"/>
      <c r="T135" s="11"/>
      <c r="U135" s="15"/>
      <c r="V135" s="11"/>
      <c r="W135" s="11"/>
      <c r="X135" s="11"/>
      <c r="Y135" s="11"/>
      <c r="Z135" s="11"/>
    </row>
    <row r="136">
      <c r="A136" s="18"/>
      <c r="B136" s="11"/>
      <c r="C136" s="11"/>
      <c r="D136" s="11"/>
      <c r="E136" s="11"/>
      <c r="F136" s="11"/>
      <c r="G136" s="11"/>
      <c r="H136" s="11"/>
      <c r="I136" s="11"/>
      <c r="J136" s="11"/>
      <c r="K136" s="11"/>
      <c r="L136" s="15"/>
      <c r="M136" s="15"/>
      <c r="N136" s="15"/>
      <c r="O136" s="15"/>
      <c r="P136" s="15"/>
      <c r="Q136" s="11"/>
      <c r="R136" s="11"/>
      <c r="S136" s="11"/>
      <c r="T136" s="11"/>
      <c r="U136" s="15"/>
      <c r="V136" s="11"/>
      <c r="W136" s="11"/>
      <c r="X136" s="11"/>
      <c r="Y136" s="11"/>
      <c r="Z136" s="11"/>
    </row>
    <row r="137">
      <c r="A137" s="18"/>
      <c r="B137" s="11"/>
      <c r="C137" s="11"/>
      <c r="D137" s="11"/>
      <c r="E137" s="11"/>
      <c r="F137" s="11"/>
      <c r="G137" s="11"/>
      <c r="H137" s="11"/>
      <c r="I137" s="11"/>
      <c r="J137" s="11"/>
      <c r="K137" s="11"/>
      <c r="L137" s="15"/>
      <c r="M137" s="15"/>
      <c r="N137" s="15"/>
      <c r="O137" s="15"/>
      <c r="P137" s="15"/>
      <c r="Q137" s="11"/>
      <c r="R137" s="11"/>
      <c r="S137" s="11"/>
      <c r="T137" s="11"/>
      <c r="U137" s="15"/>
      <c r="V137" s="11"/>
      <c r="W137" s="11"/>
      <c r="X137" s="11"/>
      <c r="Y137" s="11"/>
      <c r="Z137" s="11"/>
    </row>
    <row r="138">
      <c r="A138" s="18"/>
      <c r="B138" s="11"/>
      <c r="C138" s="11"/>
      <c r="D138" s="11"/>
      <c r="E138" s="11"/>
      <c r="F138" s="11"/>
      <c r="G138" s="11"/>
      <c r="H138" s="11"/>
      <c r="I138" s="11"/>
      <c r="J138" s="11"/>
      <c r="K138" s="11"/>
      <c r="L138" s="15"/>
      <c r="M138" s="15"/>
      <c r="N138" s="15"/>
      <c r="O138" s="15"/>
      <c r="P138" s="15"/>
      <c r="Q138" s="11"/>
      <c r="R138" s="11"/>
      <c r="S138" s="11"/>
      <c r="T138" s="11"/>
      <c r="U138" s="15"/>
      <c r="V138" s="11"/>
      <c r="W138" s="11"/>
      <c r="X138" s="11"/>
      <c r="Y138" s="11"/>
      <c r="Z138" s="11"/>
    </row>
    <row r="139">
      <c r="A139" s="18"/>
      <c r="B139" s="11"/>
      <c r="C139" s="11"/>
      <c r="D139" s="11"/>
      <c r="E139" s="11"/>
      <c r="F139" s="11"/>
      <c r="G139" s="11"/>
      <c r="H139" s="11"/>
      <c r="I139" s="11"/>
      <c r="J139" s="11"/>
      <c r="K139" s="11"/>
      <c r="L139" s="15"/>
      <c r="M139" s="15"/>
      <c r="N139" s="15"/>
      <c r="O139" s="15"/>
      <c r="P139" s="15"/>
      <c r="Q139" s="11"/>
      <c r="R139" s="11"/>
      <c r="S139" s="11"/>
      <c r="T139" s="11"/>
      <c r="U139" s="15"/>
      <c r="V139" s="11"/>
      <c r="W139" s="11"/>
      <c r="X139" s="11"/>
      <c r="Y139" s="11"/>
      <c r="Z139" s="11"/>
    </row>
    <row r="140">
      <c r="A140" s="18"/>
      <c r="B140" s="11"/>
      <c r="C140" s="11"/>
      <c r="D140" s="11"/>
      <c r="E140" s="11"/>
      <c r="F140" s="11"/>
      <c r="G140" s="11"/>
      <c r="H140" s="11"/>
      <c r="I140" s="11"/>
      <c r="J140" s="11"/>
      <c r="K140" s="11"/>
      <c r="L140" s="15"/>
      <c r="M140" s="15"/>
      <c r="N140" s="15"/>
      <c r="O140" s="15"/>
      <c r="P140" s="15"/>
      <c r="Q140" s="11"/>
      <c r="R140" s="11"/>
      <c r="S140" s="11"/>
      <c r="T140" s="11"/>
      <c r="U140" s="15"/>
      <c r="V140" s="11"/>
      <c r="W140" s="11"/>
      <c r="X140" s="11"/>
      <c r="Y140" s="11"/>
      <c r="Z140" s="11"/>
    </row>
    <row r="141">
      <c r="A141" s="18"/>
      <c r="B141" s="11"/>
      <c r="C141" s="11"/>
      <c r="D141" s="11"/>
      <c r="E141" s="11"/>
      <c r="F141" s="11"/>
      <c r="G141" s="11"/>
      <c r="H141" s="11"/>
      <c r="I141" s="11"/>
      <c r="J141" s="11"/>
      <c r="K141" s="11"/>
      <c r="L141" s="15"/>
      <c r="M141" s="15"/>
      <c r="N141" s="15"/>
      <c r="O141" s="15"/>
      <c r="P141" s="15"/>
      <c r="Q141" s="11"/>
      <c r="R141" s="11"/>
      <c r="S141" s="11"/>
      <c r="T141" s="11"/>
      <c r="U141" s="15"/>
      <c r="V141" s="11"/>
      <c r="W141" s="11"/>
      <c r="X141" s="11"/>
      <c r="Y141" s="11"/>
      <c r="Z141" s="11"/>
    </row>
    <row r="142">
      <c r="A142" s="18"/>
      <c r="B142" s="11"/>
      <c r="C142" s="11"/>
      <c r="D142" s="11"/>
      <c r="E142" s="11"/>
      <c r="F142" s="11"/>
      <c r="G142" s="11"/>
      <c r="H142" s="11"/>
      <c r="I142" s="11"/>
      <c r="J142" s="11"/>
      <c r="K142" s="11"/>
      <c r="L142" s="15"/>
      <c r="M142" s="15"/>
      <c r="N142" s="15"/>
      <c r="O142" s="15"/>
      <c r="P142" s="15"/>
      <c r="Q142" s="11"/>
      <c r="R142" s="11"/>
      <c r="S142" s="11"/>
      <c r="T142" s="11"/>
      <c r="U142" s="15"/>
      <c r="V142" s="11"/>
      <c r="W142" s="11"/>
      <c r="X142" s="11"/>
      <c r="Y142" s="11"/>
      <c r="Z142" s="11"/>
    </row>
    <row r="143">
      <c r="A143" s="18"/>
      <c r="B143" s="11"/>
      <c r="C143" s="11"/>
      <c r="D143" s="11"/>
      <c r="E143" s="11"/>
      <c r="F143" s="11"/>
      <c r="G143" s="11"/>
      <c r="H143" s="11"/>
      <c r="I143" s="11"/>
      <c r="J143" s="11"/>
      <c r="K143" s="11"/>
      <c r="L143" s="15"/>
      <c r="M143" s="15"/>
      <c r="N143" s="15"/>
      <c r="O143" s="15"/>
      <c r="P143" s="15"/>
      <c r="Q143" s="11"/>
      <c r="R143" s="11"/>
      <c r="S143" s="11"/>
      <c r="T143" s="11"/>
      <c r="U143" s="15"/>
      <c r="V143" s="11"/>
      <c r="W143" s="11"/>
      <c r="X143" s="11"/>
      <c r="Y143" s="11"/>
      <c r="Z143" s="11"/>
    </row>
    <row r="144">
      <c r="A144" s="18"/>
      <c r="B144" s="11"/>
      <c r="C144" s="11"/>
      <c r="D144" s="11"/>
      <c r="E144" s="11"/>
      <c r="F144" s="11"/>
      <c r="G144" s="11"/>
      <c r="H144" s="11"/>
      <c r="I144" s="11"/>
      <c r="J144" s="11"/>
      <c r="K144" s="11"/>
      <c r="L144" s="15"/>
      <c r="M144" s="15"/>
      <c r="N144" s="15"/>
      <c r="O144" s="15"/>
      <c r="P144" s="15"/>
      <c r="Q144" s="11"/>
      <c r="R144" s="11"/>
      <c r="S144" s="11"/>
      <c r="T144" s="11"/>
      <c r="U144" s="15"/>
      <c r="V144" s="11"/>
      <c r="W144" s="11"/>
      <c r="X144" s="11"/>
      <c r="Y144" s="11"/>
      <c r="Z144" s="11"/>
    </row>
    <row r="145">
      <c r="A145" s="18"/>
      <c r="B145" s="11"/>
      <c r="C145" s="11"/>
      <c r="D145" s="11"/>
      <c r="E145" s="11"/>
      <c r="F145" s="11"/>
      <c r="G145" s="11"/>
      <c r="H145" s="11"/>
      <c r="I145" s="11"/>
      <c r="J145" s="11"/>
      <c r="K145" s="11"/>
      <c r="L145" s="15"/>
      <c r="M145" s="15"/>
      <c r="N145" s="15"/>
      <c r="O145" s="15"/>
      <c r="P145" s="15"/>
      <c r="Q145" s="11"/>
      <c r="R145" s="11"/>
      <c r="S145" s="11"/>
      <c r="T145" s="11"/>
      <c r="U145" s="15"/>
      <c r="V145" s="11"/>
      <c r="W145" s="11"/>
      <c r="X145" s="11"/>
      <c r="Y145" s="11"/>
      <c r="Z145" s="11"/>
    </row>
    <row r="146">
      <c r="A146" s="18"/>
      <c r="B146" s="11"/>
      <c r="C146" s="11"/>
      <c r="D146" s="11"/>
      <c r="E146" s="11"/>
      <c r="F146" s="11"/>
      <c r="G146" s="11"/>
      <c r="H146" s="11"/>
      <c r="I146" s="11"/>
      <c r="J146" s="11"/>
      <c r="K146" s="11"/>
      <c r="L146" s="15"/>
      <c r="M146" s="15"/>
      <c r="N146" s="15"/>
      <c r="O146" s="15"/>
      <c r="P146" s="15"/>
      <c r="Q146" s="11"/>
      <c r="R146" s="11"/>
      <c r="S146" s="11"/>
      <c r="T146" s="11"/>
      <c r="U146" s="15"/>
      <c r="V146" s="11"/>
      <c r="W146" s="11"/>
      <c r="X146" s="11"/>
      <c r="Y146" s="11"/>
      <c r="Z146" s="11"/>
    </row>
    <row r="147">
      <c r="A147" s="18"/>
      <c r="B147" s="11"/>
      <c r="C147" s="11"/>
      <c r="D147" s="11"/>
      <c r="E147" s="11"/>
      <c r="F147" s="11"/>
      <c r="G147" s="11"/>
      <c r="H147" s="11"/>
      <c r="I147" s="11"/>
      <c r="J147" s="11"/>
      <c r="K147" s="11"/>
      <c r="L147" s="15"/>
      <c r="M147" s="15"/>
      <c r="N147" s="15"/>
      <c r="O147" s="15"/>
      <c r="P147" s="15"/>
      <c r="Q147" s="11"/>
      <c r="R147" s="11"/>
      <c r="S147" s="11"/>
      <c r="T147" s="11"/>
      <c r="U147" s="15"/>
      <c r="V147" s="11"/>
      <c r="W147" s="11"/>
      <c r="X147" s="11"/>
      <c r="Y147" s="11"/>
      <c r="Z147" s="11"/>
    </row>
    <row r="148">
      <c r="A148" s="18"/>
      <c r="B148" s="11"/>
      <c r="C148" s="11"/>
      <c r="D148" s="11"/>
      <c r="E148" s="11"/>
      <c r="F148" s="11"/>
      <c r="G148" s="11"/>
      <c r="H148" s="11"/>
      <c r="I148" s="11"/>
      <c r="J148" s="11"/>
      <c r="K148" s="11"/>
      <c r="L148" s="15"/>
      <c r="M148" s="15"/>
      <c r="N148" s="15"/>
      <c r="O148" s="15"/>
      <c r="P148" s="15"/>
      <c r="Q148" s="11"/>
      <c r="R148" s="11"/>
      <c r="S148" s="11"/>
      <c r="T148" s="11"/>
      <c r="U148" s="15"/>
      <c r="V148" s="11"/>
      <c r="W148" s="11"/>
      <c r="X148" s="11"/>
      <c r="Y148" s="11"/>
      <c r="Z148" s="11"/>
    </row>
    <row r="149">
      <c r="A149" s="18"/>
      <c r="B149" s="11"/>
      <c r="C149" s="11"/>
      <c r="D149" s="11"/>
      <c r="E149" s="11"/>
      <c r="F149" s="11"/>
      <c r="G149" s="11"/>
      <c r="H149" s="11"/>
      <c r="I149" s="11"/>
      <c r="J149" s="11"/>
      <c r="K149" s="11"/>
      <c r="L149" s="15"/>
      <c r="M149" s="15"/>
      <c r="N149" s="15"/>
      <c r="O149" s="15"/>
      <c r="P149" s="15"/>
      <c r="Q149" s="11"/>
      <c r="R149" s="11"/>
      <c r="S149" s="11"/>
      <c r="T149" s="11"/>
      <c r="U149" s="15"/>
      <c r="V149" s="11"/>
      <c r="W149" s="11"/>
      <c r="X149" s="11"/>
      <c r="Y149" s="11"/>
      <c r="Z149" s="11"/>
    </row>
    <row r="150">
      <c r="A150" s="18"/>
      <c r="B150" s="11"/>
      <c r="C150" s="11"/>
      <c r="D150" s="11"/>
      <c r="E150" s="11"/>
      <c r="F150" s="11"/>
      <c r="G150" s="11"/>
      <c r="H150" s="11"/>
      <c r="I150" s="11"/>
      <c r="J150" s="11"/>
      <c r="K150" s="11"/>
      <c r="L150" s="15"/>
      <c r="M150" s="15"/>
      <c r="N150" s="15"/>
      <c r="O150" s="15"/>
      <c r="P150" s="15"/>
      <c r="Q150" s="11"/>
      <c r="R150" s="11"/>
      <c r="S150" s="11"/>
      <c r="T150" s="11"/>
      <c r="U150" s="15"/>
      <c r="V150" s="11"/>
      <c r="W150" s="11"/>
      <c r="X150" s="11"/>
      <c r="Y150" s="11"/>
      <c r="Z150" s="11"/>
    </row>
    <row r="151">
      <c r="A151" s="18"/>
      <c r="B151" s="11"/>
      <c r="C151" s="11"/>
      <c r="D151" s="11"/>
      <c r="E151" s="11"/>
      <c r="F151" s="11"/>
      <c r="G151" s="11"/>
      <c r="H151" s="11"/>
      <c r="I151" s="11"/>
      <c r="J151" s="11"/>
      <c r="K151" s="11"/>
      <c r="L151" s="15"/>
      <c r="M151" s="15"/>
      <c r="N151" s="15"/>
      <c r="O151" s="15"/>
      <c r="P151" s="15"/>
      <c r="Q151" s="11"/>
      <c r="R151" s="11"/>
      <c r="S151" s="11"/>
      <c r="T151" s="11"/>
      <c r="U151" s="15"/>
      <c r="V151" s="11"/>
      <c r="W151" s="11"/>
      <c r="X151" s="11"/>
      <c r="Y151" s="11"/>
      <c r="Z151" s="11"/>
    </row>
    <row r="152">
      <c r="A152" s="18"/>
      <c r="B152" s="11"/>
      <c r="C152" s="11"/>
      <c r="D152" s="11"/>
      <c r="E152" s="11"/>
      <c r="F152" s="11"/>
      <c r="G152" s="11"/>
      <c r="H152" s="11"/>
      <c r="I152" s="11"/>
      <c r="J152" s="11"/>
      <c r="K152" s="11"/>
      <c r="L152" s="15"/>
      <c r="M152" s="15"/>
      <c r="N152" s="15"/>
      <c r="O152" s="15"/>
      <c r="P152" s="15"/>
      <c r="Q152" s="11"/>
      <c r="R152" s="11"/>
      <c r="S152" s="11"/>
      <c r="T152" s="11"/>
      <c r="U152" s="15"/>
      <c r="V152" s="11"/>
      <c r="W152" s="11"/>
      <c r="X152" s="11"/>
      <c r="Y152" s="11"/>
      <c r="Z152" s="11"/>
    </row>
    <row r="153">
      <c r="A153" s="18"/>
      <c r="B153" s="11"/>
      <c r="C153" s="11"/>
      <c r="D153" s="11"/>
      <c r="E153" s="11"/>
      <c r="F153" s="11"/>
      <c r="G153" s="11"/>
      <c r="H153" s="11"/>
      <c r="I153" s="11"/>
      <c r="J153" s="11"/>
      <c r="K153" s="11"/>
      <c r="L153" s="15"/>
      <c r="M153" s="15"/>
      <c r="N153" s="15"/>
      <c r="O153" s="15"/>
      <c r="P153" s="15"/>
      <c r="Q153" s="11"/>
      <c r="R153" s="11"/>
      <c r="S153" s="11"/>
      <c r="T153" s="11"/>
      <c r="U153" s="15"/>
      <c r="V153" s="11"/>
      <c r="W153" s="11"/>
      <c r="X153" s="11"/>
      <c r="Y153" s="11"/>
      <c r="Z153" s="11"/>
    </row>
    <row r="154">
      <c r="A154" s="18"/>
      <c r="B154" s="11"/>
      <c r="C154" s="11"/>
      <c r="D154" s="11"/>
      <c r="E154" s="11"/>
      <c r="F154" s="11"/>
      <c r="G154" s="11"/>
      <c r="H154" s="11"/>
      <c r="I154" s="11"/>
      <c r="J154" s="11"/>
      <c r="K154" s="11"/>
      <c r="L154" s="15"/>
      <c r="M154" s="15"/>
      <c r="N154" s="15"/>
      <c r="O154" s="15"/>
      <c r="P154" s="15"/>
      <c r="Q154" s="11"/>
      <c r="R154" s="11"/>
      <c r="S154" s="11"/>
      <c r="T154" s="11"/>
      <c r="U154" s="15"/>
      <c r="V154" s="11"/>
      <c r="W154" s="11"/>
      <c r="X154" s="11"/>
      <c r="Y154" s="11"/>
      <c r="Z154" s="11"/>
    </row>
    <row r="155">
      <c r="A155" s="18"/>
      <c r="B155" s="11"/>
      <c r="C155" s="11"/>
      <c r="D155" s="11"/>
      <c r="E155" s="11"/>
      <c r="F155" s="11"/>
      <c r="G155" s="11"/>
      <c r="H155" s="11"/>
      <c r="I155" s="11"/>
      <c r="J155" s="11"/>
      <c r="K155" s="11"/>
      <c r="L155" s="15"/>
      <c r="M155" s="15"/>
      <c r="N155" s="15"/>
      <c r="O155" s="15"/>
      <c r="P155" s="15"/>
      <c r="Q155" s="11"/>
      <c r="R155" s="11"/>
      <c r="S155" s="11"/>
      <c r="T155" s="11"/>
      <c r="U155" s="15"/>
      <c r="V155" s="11"/>
      <c r="W155" s="11"/>
      <c r="X155" s="11"/>
      <c r="Y155" s="11"/>
      <c r="Z155" s="11"/>
    </row>
    <row r="156">
      <c r="A156" s="18"/>
      <c r="B156" s="11"/>
      <c r="C156" s="11"/>
      <c r="D156" s="11"/>
      <c r="E156" s="11"/>
      <c r="F156" s="11"/>
      <c r="G156" s="11"/>
      <c r="H156" s="11"/>
      <c r="I156" s="11"/>
      <c r="J156" s="11"/>
      <c r="K156" s="11"/>
      <c r="L156" s="15"/>
      <c r="M156" s="15"/>
      <c r="N156" s="15"/>
      <c r="O156" s="15"/>
      <c r="P156" s="15"/>
      <c r="Q156" s="11"/>
      <c r="R156" s="11"/>
      <c r="S156" s="11"/>
      <c r="T156" s="11"/>
      <c r="U156" s="15"/>
      <c r="V156" s="11"/>
      <c r="W156" s="11"/>
      <c r="X156" s="11"/>
      <c r="Y156" s="11"/>
      <c r="Z156" s="11"/>
    </row>
    <row r="157">
      <c r="A157" s="18"/>
      <c r="B157" s="11"/>
      <c r="C157" s="11"/>
      <c r="D157" s="11"/>
      <c r="E157" s="11"/>
      <c r="F157" s="11"/>
      <c r="G157" s="11"/>
      <c r="H157" s="11"/>
      <c r="I157" s="11"/>
      <c r="J157" s="11"/>
      <c r="K157" s="11"/>
      <c r="L157" s="15"/>
      <c r="M157" s="15"/>
      <c r="N157" s="15"/>
      <c r="O157" s="15"/>
      <c r="P157" s="15"/>
      <c r="Q157" s="11"/>
      <c r="R157" s="11"/>
      <c r="S157" s="11"/>
      <c r="T157" s="11"/>
      <c r="U157" s="15"/>
      <c r="V157" s="11"/>
      <c r="W157" s="11"/>
      <c r="X157" s="11"/>
      <c r="Y157" s="11"/>
      <c r="Z157" s="11"/>
    </row>
    <row r="158">
      <c r="A158" s="18"/>
      <c r="B158" s="11"/>
      <c r="C158" s="11"/>
      <c r="D158" s="11"/>
      <c r="E158" s="11"/>
      <c r="F158" s="11"/>
      <c r="G158" s="11"/>
      <c r="H158" s="11"/>
      <c r="I158" s="11"/>
      <c r="J158" s="11"/>
      <c r="K158" s="11"/>
      <c r="L158" s="15"/>
      <c r="M158" s="15"/>
      <c r="N158" s="15"/>
      <c r="O158" s="15"/>
      <c r="P158" s="15"/>
      <c r="Q158" s="11"/>
      <c r="R158" s="11"/>
      <c r="S158" s="11"/>
      <c r="T158" s="11"/>
      <c r="U158" s="15"/>
      <c r="V158" s="11"/>
      <c r="W158" s="11"/>
      <c r="X158" s="11"/>
      <c r="Y158" s="11"/>
      <c r="Z158" s="11"/>
    </row>
    <row r="159">
      <c r="A159" s="18"/>
      <c r="B159" s="11"/>
      <c r="C159" s="11"/>
      <c r="D159" s="11"/>
      <c r="E159" s="11"/>
      <c r="F159" s="11"/>
      <c r="G159" s="11"/>
      <c r="H159" s="11"/>
      <c r="I159" s="11"/>
      <c r="J159" s="11"/>
      <c r="K159" s="11"/>
      <c r="L159" s="15"/>
      <c r="M159" s="15"/>
      <c r="N159" s="15"/>
      <c r="O159" s="15"/>
      <c r="P159" s="15"/>
      <c r="Q159" s="11"/>
      <c r="R159" s="11"/>
      <c r="S159" s="11"/>
      <c r="T159" s="11"/>
      <c r="U159" s="15"/>
      <c r="V159" s="11"/>
      <c r="W159" s="11"/>
      <c r="X159" s="11"/>
      <c r="Y159" s="11"/>
      <c r="Z159" s="11"/>
    </row>
    <row r="160">
      <c r="A160" s="18"/>
      <c r="B160" s="11"/>
      <c r="C160" s="11"/>
      <c r="D160" s="11"/>
      <c r="E160" s="11"/>
      <c r="F160" s="11"/>
      <c r="G160" s="11"/>
      <c r="H160" s="11"/>
      <c r="I160" s="11"/>
      <c r="J160" s="11"/>
      <c r="K160" s="11"/>
      <c r="L160" s="15"/>
      <c r="M160" s="15"/>
      <c r="N160" s="15"/>
      <c r="O160" s="15"/>
      <c r="P160" s="15"/>
      <c r="Q160" s="11"/>
      <c r="R160" s="11"/>
      <c r="S160" s="11"/>
      <c r="T160" s="11"/>
      <c r="U160" s="15"/>
      <c r="V160" s="11"/>
      <c r="W160" s="11"/>
      <c r="X160" s="11"/>
      <c r="Y160" s="11"/>
      <c r="Z160" s="11"/>
    </row>
    <row r="161">
      <c r="A161" s="18"/>
      <c r="B161" s="11"/>
      <c r="C161" s="11"/>
      <c r="D161" s="11"/>
      <c r="E161" s="11"/>
      <c r="F161" s="11"/>
      <c r="G161" s="11"/>
      <c r="H161" s="11"/>
      <c r="I161" s="11"/>
      <c r="J161" s="11"/>
      <c r="K161" s="11"/>
      <c r="L161" s="15"/>
      <c r="M161" s="15"/>
      <c r="N161" s="15"/>
      <c r="O161" s="15"/>
      <c r="P161" s="15"/>
      <c r="Q161" s="11"/>
      <c r="R161" s="11"/>
      <c r="S161" s="11"/>
      <c r="T161" s="11"/>
      <c r="U161" s="15"/>
      <c r="V161" s="11"/>
      <c r="W161" s="11"/>
      <c r="X161" s="11"/>
      <c r="Y161" s="11"/>
      <c r="Z161" s="11"/>
    </row>
    <row r="162">
      <c r="A162" s="18"/>
      <c r="B162" s="11"/>
      <c r="C162" s="11"/>
      <c r="D162" s="11"/>
      <c r="E162" s="11"/>
      <c r="F162" s="11"/>
      <c r="G162" s="11"/>
      <c r="H162" s="11"/>
      <c r="I162" s="11"/>
      <c r="J162" s="11"/>
      <c r="K162" s="11"/>
      <c r="L162" s="15"/>
      <c r="M162" s="15"/>
      <c r="N162" s="15"/>
      <c r="O162" s="15"/>
      <c r="P162" s="15"/>
      <c r="Q162" s="11"/>
      <c r="R162" s="11"/>
      <c r="S162" s="11"/>
      <c r="T162" s="11"/>
      <c r="U162" s="15"/>
      <c r="V162" s="11"/>
      <c r="W162" s="11"/>
      <c r="X162" s="11"/>
      <c r="Y162" s="11"/>
      <c r="Z162" s="11"/>
    </row>
    <row r="163">
      <c r="A163" s="18"/>
      <c r="B163" s="11"/>
      <c r="C163" s="11"/>
      <c r="D163" s="11"/>
      <c r="E163" s="11"/>
      <c r="F163" s="11"/>
      <c r="G163" s="11"/>
      <c r="H163" s="11"/>
      <c r="I163" s="11"/>
      <c r="J163" s="11"/>
      <c r="K163" s="11"/>
      <c r="L163" s="15"/>
      <c r="M163" s="15"/>
      <c r="N163" s="15"/>
      <c r="O163" s="15"/>
      <c r="P163" s="15"/>
      <c r="Q163" s="11"/>
      <c r="R163" s="11"/>
      <c r="S163" s="11"/>
      <c r="T163" s="11"/>
      <c r="U163" s="15"/>
      <c r="V163" s="11"/>
      <c r="W163" s="11"/>
      <c r="X163" s="11"/>
      <c r="Y163" s="11"/>
      <c r="Z163" s="11"/>
    </row>
    <row r="164">
      <c r="A164" s="18"/>
      <c r="B164" s="11"/>
      <c r="C164" s="11"/>
      <c r="D164" s="11"/>
      <c r="E164" s="11"/>
      <c r="F164" s="11"/>
      <c r="G164" s="11"/>
      <c r="H164" s="11"/>
      <c r="I164" s="11"/>
      <c r="J164" s="11"/>
      <c r="K164" s="11"/>
      <c r="L164" s="15"/>
      <c r="M164" s="15"/>
      <c r="N164" s="15"/>
      <c r="O164" s="15"/>
      <c r="P164" s="15"/>
      <c r="Q164" s="11"/>
      <c r="R164" s="11"/>
      <c r="S164" s="11"/>
      <c r="T164" s="11"/>
      <c r="U164" s="15"/>
      <c r="V164" s="11"/>
      <c r="W164" s="11"/>
      <c r="X164" s="11"/>
      <c r="Y164" s="11"/>
      <c r="Z164" s="11"/>
    </row>
    <row r="165">
      <c r="A165" s="18"/>
      <c r="B165" s="11"/>
      <c r="C165" s="11"/>
      <c r="D165" s="11"/>
      <c r="E165" s="11"/>
      <c r="F165" s="11"/>
      <c r="G165" s="11"/>
      <c r="H165" s="11"/>
      <c r="I165" s="11"/>
      <c r="J165" s="11"/>
      <c r="K165" s="11"/>
      <c r="L165" s="15"/>
      <c r="M165" s="15"/>
      <c r="N165" s="15"/>
      <c r="O165" s="15"/>
      <c r="P165" s="15"/>
      <c r="Q165" s="11"/>
      <c r="R165" s="11"/>
      <c r="S165" s="11"/>
      <c r="T165" s="11"/>
      <c r="U165" s="15"/>
      <c r="V165" s="11"/>
      <c r="W165" s="11"/>
      <c r="X165" s="11"/>
      <c r="Y165" s="11"/>
      <c r="Z165" s="11"/>
    </row>
    <row r="166">
      <c r="A166" s="18"/>
      <c r="B166" s="11"/>
      <c r="C166" s="11"/>
      <c r="D166" s="11"/>
      <c r="E166" s="11"/>
      <c r="F166" s="11"/>
      <c r="G166" s="11"/>
      <c r="H166" s="11"/>
      <c r="I166" s="11"/>
      <c r="J166" s="11"/>
      <c r="K166" s="11"/>
      <c r="L166" s="15"/>
      <c r="M166" s="15"/>
      <c r="N166" s="15"/>
      <c r="O166" s="15"/>
      <c r="P166" s="15"/>
      <c r="Q166" s="11"/>
      <c r="R166" s="11"/>
      <c r="S166" s="11"/>
      <c r="T166" s="11"/>
      <c r="U166" s="15"/>
      <c r="V166" s="11"/>
      <c r="W166" s="11"/>
      <c r="X166" s="11"/>
      <c r="Y166" s="11"/>
      <c r="Z166" s="11"/>
    </row>
    <row r="167">
      <c r="A167" s="18"/>
      <c r="B167" s="11"/>
      <c r="C167" s="11"/>
      <c r="D167" s="11"/>
      <c r="E167" s="11"/>
      <c r="F167" s="11"/>
      <c r="G167" s="11"/>
      <c r="H167" s="11"/>
      <c r="I167" s="11"/>
      <c r="J167" s="11"/>
      <c r="K167" s="11"/>
      <c r="L167" s="15"/>
      <c r="M167" s="15"/>
      <c r="N167" s="15"/>
      <c r="O167" s="15"/>
      <c r="P167" s="15"/>
      <c r="Q167" s="11"/>
      <c r="R167" s="11"/>
      <c r="S167" s="11"/>
      <c r="T167" s="11"/>
      <c r="U167" s="15"/>
      <c r="V167" s="11"/>
      <c r="W167" s="11"/>
      <c r="X167" s="11"/>
      <c r="Y167" s="11"/>
      <c r="Z167" s="11"/>
    </row>
    <row r="168">
      <c r="A168" s="18"/>
      <c r="B168" s="11"/>
      <c r="C168" s="11"/>
      <c r="D168" s="11"/>
      <c r="E168" s="11"/>
      <c r="F168" s="11"/>
      <c r="G168" s="11"/>
      <c r="H168" s="11"/>
      <c r="I168" s="11"/>
      <c r="J168" s="11"/>
      <c r="K168" s="11"/>
      <c r="L168" s="15"/>
      <c r="M168" s="15"/>
      <c r="N168" s="15"/>
      <c r="O168" s="15"/>
      <c r="P168" s="15"/>
      <c r="Q168" s="11"/>
      <c r="R168" s="11"/>
      <c r="S168" s="11"/>
      <c r="T168" s="11"/>
      <c r="U168" s="15"/>
      <c r="V168" s="11"/>
      <c r="W168" s="11"/>
      <c r="X168" s="11"/>
      <c r="Y168" s="11"/>
      <c r="Z168" s="11"/>
    </row>
    <row r="169">
      <c r="A169" s="18"/>
      <c r="B169" s="11"/>
      <c r="C169" s="11"/>
      <c r="D169" s="11"/>
      <c r="E169" s="11"/>
      <c r="F169" s="11"/>
      <c r="G169" s="11"/>
      <c r="H169" s="11"/>
      <c r="I169" s="11"/>
      <c r="J169" s="11"/>
      <c r="K169" s="11"/>
      <c r="L169" s="15"/>
      <c r="M169" s="15"/>
      <c r="N169" s="15"/>
      <c r="O169" s="15"/>
      <c r="P169" s="15"/>
      <c r="Q169" s="11"/>
      <c r="R169" s="11"/>
      <c r="S169" s="11"/>
      <c r="T169" s="11"/>
      <c r="U169" s="15"/>
      <c r="V169" s="11"/>
      <c r="W169" s="11"/>
      <c r="X169" s="11"/>
      <c r="Y169" s="11"/>
      <c r="Z169" s="11"/>
    </row>
    <row r="170">
      <c r="A170" s="18"/>
      <c r="B170" s="11"/>
      <c r="C170" s="11"/>
      <c r="D170" s="11"/>
      <c r="E170" s="11"/>
      <c r="F170" s="11"/>
      <c r="G170" s="11"/>
      <c r="H170" s="11"/>
      <c r="I170" s="11"/>
      <c r="J170" s="11"/>
      <c r="K170" s="11"/>
      <c r="L170" s="15"/>
      <c r="M170" s="15"/>
      <c r="N170" s="15"/>
      <c r="O170" s="15"/>
      <c r="P170" s="15"/>
      <c r="Q170" s="11"/>
      <c r="R170" s="11"/>
      <c r="S170" s="11"/>
      <c r="T170" s="11"/>
      <c r="U170" s="15"/>
      <c r="V170" s="11"/>
      <c r="W170" s="11"/>
      <c r="X170" s="11"/>
      <c r="Y170" s="11"/>
      <c r="Z170" s="11"/>
    </row>
    <row r="171">
      <c r="A171" s="18"/>
      <c r="B171" s="11"/>
      <c r="C171" s="11"/>
      <c r="D171" s="11"/>
      <c r="E171" s="11"/>
      <c r="F171" s="11"/>
      <c r="G171" s="11"/>
      <c r="H171" s="11"/>
      <c r="I171" s="11"/>
      <c r="J171" s="11"/>
      <c r="K171" s="11"/>
      <c r="L171" s="15"/>
      <c r="M171" s="15"/>
      <c r="N171" s="15"/>
      <c r="O171" s="15"/>
      <c r="P171" s="15"/>
      <c r="Q171" s="11"/>
      <c r="R171" s="11"/>
      <c r="S171" s="11"/>
      <c r="T171" s="11"/>
      <c r="U171" s="15"/>
      <c r="V171" s="11"/>
      <c r="W171" s="11"/>
      <c r="X171" s="11"/>
      <c r="Y171" s="11"/>
      <c r="Z171" s="11"/>
    </row>
    <row r="172">
      <c r="A172" s="18"/>
      <c r="B172" s="11"/>
      <c r="C172" s="11"/>
      <c r="D172" s="11"/>
      <c r="E172" s="11"/>
      <c r="F172" s="11"/>
      <c r="G172" s="11"/>
      <c r="H172" s="11"/>
      <c r="I172" s="11"/>
      <c r="J172" s="11"/>
      <c r="K172" s="11"/>
      <c r="L172" s="15"/>
      <c r="M172" s="15"/>
      <c r="N172" s="15"/>
      <c r="O172" s="15"/>
      <c r="P172" s="15"/>
      <c r="Q172" s="11"/>
      <c r="R172" s="11"/>
      <c r="S172" s="11"/>
      <c r="T172" s="11"/>
      <c r="U172" s="15"/>
      <c r="V172" s="11"/>
      <c r="W172" s="11"/>
      <c r="X172" s="11"/>
      <c r="Y172" s="11"/>
      <c r="Z172" s="11"/>
    </row>
    <row r="173">
      <c r="A173" s="18"/>
      <c r="B173" s="11"/>
      <c r="C173" s="11"/>
      <c r="D173" s="11"/>
      <c r="E173" s="11"/>
      <c r="F173" s="11"/>
      <c r="G173" s="11"/>
      <c r="H173" s="11"/>
      <c r="I173" s="11"/>
      <c r="J173" s="11"/>
      <c r="K173" s="11"/>
      <c r="L173" s="15"/>
      <c r="M173" s="15"/>
      <c r="N173" s="15"/>
      <c r="O173" s="15"/>
      <c r="P173" s="15"/>
      <c r="Q173" s="11"/>
      <c r="R173" s="11"/>
      <c r="S173" s="11"/>
      <c r="T173" s="11"/>
      <c r="U173" s="15"/>
      <c r="V173" s="11"/>
      <c r="W173" s="11"/>
      <c r="X173" s="11"/>
      <c r="Y173" s="11"/>
      <c r="Z173" s="11"/>
    </row>
    <row r="174">
      <c r="A174" s="18"/>
      <c r="B174" s="11"/>
      <c r="C174" s="11"/>
      <c r="D174" s="11"/>
      <c r="E174" s="11"/>
      <c r="F174" s="11"/>
      <c r="G174" s="11"/>
      <c r="H174" s="11"/>
      <c r="I174" s="11"/>
      <c r="J174" s="11"/>
      <c r="K174" s="11"/>
      <c r="L174" s="15"/>
      <c r="M174" s="15"/>
      <c r="N174" s="15"/>
      <c r="O174" s="15"/>
      <c r="P174" s="15"/>
      <c r="Q174" s="11"/>
      <c r="R174" s="11"/>
      <c r="S174" s="11"/>
      <c r="T174" s="11"/>
      <c r="U174" s="15"/>
      <c r="V174" s="11"/>
      <c r="W174" s="11"/>
      <c r="X174" s="11"/>
      <c r="Y174" s="11"/>
      <c r="Z174" s="11"/>
    </row>
    <row r="175">
      <c r="A175" s="18"/>
      <c r="B175" s="11"/>
      <c r="C175" s="11"/>
      <c r="D175" s="11"/>
      <c r="E175" s="11"/>
      <c r="F175" s="11"/>
      <c r="G175" s="11"/>
      <c r="H175" s="11"/>
      <c r="I175" s="11"/>
      <c r="J175" s="11"/>
      <c r="K175" s="11"/>
      <c r="L175" s="15"/>
      <c r="M175" s="15"/>
      <c r="N175" s="15"/>
      <c r="O175" s="15"/>
      <c r="P175" s="15"/>
      <c r="Q175" s="11"/>
      <c r="R175" s="11"/>
      <c r="S175" s="11"/>
      <c r="T175" s="11"/>
      <c r="U175" s="15"/>
      <c r="V175" s="11"/>
      <c r="W175" s="11"/>
      <c r="X175" s="11"/>
      <c r="Y175" s="11"/>
      <c r="Z175" s="11"/>
    </row>
    <row r="176">
      <c r="A176" s="18"/>
      <c r="B176" s="11"/>
      <c r="C176" s="11"/>
      <c r="D176" s="11"/>
      <c r="E176" s="11"/>
      <c r="F176" s="11"/>
      <c r="G176" s="11"/>
      <c r="H176" s="11"/>
      <c r="I176" s="11"/>
      <c r="J176" s="11"/>
      <c r="K176" s="11"/>
      <c r="L176" s="15"/>
      <c r="M176" s="15"/>
      <c r="N176" s="15"/>
      <c r="O176" s="15"/>
      <c r="P176" s="15"/>
      <c r="Q176" s="11"/>
      <c r="R176" s="11"/>
      <c r="S176" s="11"/>
      <c r="T176" s="11"/>
      <c r="U176" s="15"/>
      <c r="V176" s="11"/>
      <c r="W176" s="11"/>
      <c r="X176" s="11"/>
      <c r="Y176" s="11"/>
      <c r="Z176" s="11"/>
    </row>
    <row r="177">
      <c r="A177" s="18"/>
      <c r="B177" s="11"/>
      <c r="C177" s="11"/>
      <c r="D177" s="11"/>
      <c r="E177" s="11"/>
      <c r="F177" s="11"/>
      <c r="G177" s="11"/>
      <c r="H177" s="11"/>
      <c r="I177" s="11"/>
      <c r="J177" s="11"/>
      <c r="K177" s="11"/>
      <c r="L177" s="15"/>
      <c r="M177" s="15"/>
      <c r="N177" s="15"/>
      <c r="O177" s="15"/>
      <c r="P177" s="15"/>
      <c r="Q177" s="11"/>
      <c r="R177" s="11"/>
      <c r="S177" s="11"/>
      <c r="T177" s="11"/>
      <c r="U177" s="15"/>
      <c r="V177" s="11"/>
      <c r="W177" s="11"/>
      <c r="X177" s="11"/>
      <c r="Y177" s="11"/>
      <c r="Z177" s="11"/>
    </row>
    <row r="178">
      <c r="A178" s="18"/>
      <c r="B178" s="11"/>
      <c r="C178" s="11"/>
      <c r="D178" s="11"/>
      <c r="E178" s="11"/>
      <c r="F178" s="11"/>
      <c r="G178" s="11"/>
      <c r="H178" s="11"/>
      <c r="I178" s="11"/>
      <c r="J178" s="11"/>
      <c r="K178" s="11"/>
      <c r="L178" s="15"/>
      <c r="M178" s="15"/>
      <c r="N178" s="15"/>
      <c r="O178" s="15"/>
      <c r="P178" s="15"/>
      <c r="Q178" s="11"/>
      <c r="R178" s="11"/>
      <c r="S178" s="11"/>
      <c r="T178" s="11"/>
      <c r="U178" s="15"/>
      <c r="V178" s="11"/>
      <c r="W178" s="11"/>
      <c r="X178" s="11"/>
      <c r="Y178" s="11"/>
      <c r="Z178" s="11"/>
    </row>
    <row r="179">
      <c r="A179" s="18"/>
      <c r="B179" s="11"/>
      <c r="C179" s="11"/>
      <c r="D179" s="11"/>
      <c r="E179" s="11"/>
      <c r="F179" s="11"/>
      <c r="G179" s="11"/>
      <c r="H179" s="11"/>
      <c r="I179" s="11"/>
      <c r="J179" s="11"/>
      <c r="K179" s="11"/>
      <c r="L179" s="15"/>
      <c r="M179" s="15"/>
      <c r="N179" s="15"/>
      <c r="O179" s="15"/>
      <c r="P179" s="15"/>
      <c r="Q179" s="11"/>
      <c r="R179" s="11"/>
      <c r="S179" s="11"/>
      <c r="T179" s="11"/>
      <c r="U179" s="15"/>
      <c r="V179" s="11"/>
      <c r="W179" s="11"/>
      <c r="X179" s="11"/>
      <c r="Y179" s="11"/>
      <c r="Z179" s="11"/>
    </row>
    <row r="180">
      <c r="A180" s="18"/>
      <c r="B180" s="11"/>
      <c r="C180" s="11"/>
      <c r="D180" s="11"/>
      <c r="E180" s="11"/>
      <c r="F180" s="11"/>
      <c r="G180" s="11"/>
      <c r="H180" s="11"/>
      <c r="I180" s="11"/>
      <c r="J180" s="11"/>
      <c r="K180" s="11"/>
      <c r="L180" s="15"/>
      <c r="M180" s="15"/>
      <c r="N180" s="15"/>
      <c r="O180" s="15"/>
      <c r="P180" s="15"/>
      <c r="Q180" s="11"/>
      <c r="R180" s="11"/>
      <c r="S180" s="11"/>
      <c r="T180" s="11"/>
      <c r="U180" s="15"/>
      <c r="V180" s="11"/>
      <c r="W180" s="11"/>
      <c r="X180" s="11"/>
      <c r="Y180" s="11"/>
      <c r="Z180" s="11"/>
    </row>
    <row r="181">
      <c r="A181" s="18"/>
      <c r="B181" s="11"/>
      <c r="C181" s="11"/>
      <c r="D181" s="11"/>
      <c r="E181" s="11"/>
      <c r="F181" s="11"/>
      <c r="G181" s="11"/>
      <c r="H181" s="11"/>
      <c r="I181" s="11"/>
      <c r="J181" s="11"/>
      <c r="K181" s="11"/>
      <c r="L181" s="15"/>
      <c r="M181" s="15"/>
      <c r="N181" s="15"/>
      <c r="O181" s="15"/>
      <c r="P181" s="15"/>
      <c r="Q181" s="11"/>
      <c r="R181" s="11"/>
      <c r="S181" s="11"/>
      <c r="T181" s="11"/>
      <c r="U181" s="15"/>
      <c r="V181" s="11"/>
      <c r="W181" s="11"/>
      <c r="X181" s="11"/>
      <c r="Y181" s="11"/>
      <c r="Z181" s="11"/>
    </row>
    <row r="182">
      <c r="A182" s="18"/>
      <c r="B182" s="11"/>
      <c r="C182" s="11"/>
      <c r="D182" s="11"/>
      <c r="E182" s="11"/>
      <c r="F182" s="11"/>
      <c r="G182" s="11"/>
      <c r="H182" s="11"/>
      <c r="I182" s="11"/>
      <c r="J182" s="11"/>
      <c r="K182" s="11"/>
      <c r="L182" s="15"/>
      <c r="M182" s="15"/>
      <c r="N182" s="15"/>
      <c r="O182" s="15"/>
      <c r="P182" s="15"/>
      <c r="Q182" s="11"/>
      <c r="R182" s="11"/>
      <c r="S182" s="11"/>
      <c r="T182" s="11"/>
      <c r="U182" s="15"/>
      <c r="V182" s="11"/>
      <c r="W182" s="11"/>
      <c r="X182" s="11"/>
      <c r="Y182" s="11"/>
      <c r="Z182" s="11"/>
    </row>
    <row r="183">
      <c r="A183" s="18"/>
      <c r="B183" s="11"/>
      <c r="C183" s="11"/>
      <c r="D183" s="11"/>
      <c r="E183" s="11"/>
      <c r="F183" s="11"/>
      <c r="G183" s="11"/>
      <c r="H183" s="11"/>
      <c r="I183" s="11"/>
      <c r="J183" s="11"/>
      <c r="K183" s="11"/>
      <c r="L183" s="15"/>
      <c r="M183" s="15"/>
      <c r="N183" s="15"/>
      <c r="O183" s="15"/>
      <c r="P183" s="15"/>
      <c r="Q183" s="11"/>
      <c r="R183" s="11"/>
      <c r="S183" s="11"/>
      <c r="T183" s="11"/>
      <c r="U183" s="15"/>
      <c r="V183" s="11"/>
      <c r="W183" s="11"/>
      <c r="X183" s="11"/>
      <c r="Y183" s="11"/>
      <c r="Z183" s="11"/>
    </row>
    <row r="184">
      <c r="A184" s="18"/>
      <c r="B184" s="11"/>
      <c r="C184" s="11"/>
      <c r="D184" s="11"/>
      <c r="E184" s="11"/>
      <c r="F184" s="11"/>
      <c r="G184" s="11"/>
      <c r="H184" s="11"/>
      <c r="I184" s="11"/>
      <c r="J184" s="11"/>
      <c r="K184" s="11"/>
      <c r="L184" s="15"/>
      <c r="M184" s="15"/>
      <c r="N184" s="15"/>
      <c r="O184" s="15"/>
      <c r="P184" s="15"/>
      <c r="Q184" s="11"/>
      <c r="R184" s="11"/>
      <c r="S184" s="11"/>
      <c r="T184" s="11"/>
      <c r="U184" s="15"/>
      <c r="V184" s="11"/>
      <c r="W184" s="11"/>
      <c r="X184" s="11"/>
      <c r="Y184" s="11"/>
      <c r="Z184" s="11"/>
    </row>
    <row r="185">
      <c r="A185" s="18"/>
      <c r="B185" s="11"/>
      <c r="C185" s="11"/>
      <c r="D185" s="11"/>
      <c r="E185" s="11"/>
      <c r="F185" s="11"/>
      <c r="G185" s="11"/>
      <c r="H185" s="11"/>
      <c r="I185" s="11"/>
      <c r="J185" s="11"/>
      <c r="K185" s="11"/>
      <c r="L185" s="15"/>
      <c r="M185" s="15"/>
      <c r="N185" s="15"/>
      <c r="O185" s="15"/>
      <c r="P185" s="15"/>
      <c r="Q185" s="11"/>
      <c r="R185" s="11"/>
      <c r="S185" s="11"/>
      <c r="T185" s="11"/>
      <c r="U185" s="15"/>
      <c r="V185" s="11"/>
      <c r="W185" s="11"/>
      <c r="X185" s="11"/>
      <c r="Y185" s="11"/>
      <c r="Z185" s="11"/>
    </row>
    <row r="186">
      <c r="A186" s="18"/>
      <c r="B186" s="11"/>
      <c r="C186" s="11"/>
      <c r="D186" s="11"/>
      <c r="E186" s="11"/>
      <c r="F186" s="11"/>
      <c r="G186" s="11"/>
      <c r="H186" s="11"/>
      <c r="I186" s="11"/>
      <c r="J186" s="11"/>
      <c r="K186" s="11"/>
      <c r="L186" s="15"/>
      <c r="M186" s="15"/>
      <c r="N186" s="15"/>
      <c r="O186" s="15"/>
      <c r="P186" s="15"/>
      <c r="Q186" s="11"/>
      <c r="R186" s="11"/>
      <c r="S186" s="11"/>
      <c r="T186" s="11"/>
      <c r="U186" s="15"/>
      <c r="V186" s="11"/>
      <c r="W186" s="11"/>
      <c r="X186" s="11"/>
      <c r="Y186" s="11"/>
      <c r="Z186" s="11"/>
    </row>
    <row r="187">
      <c r="A187" s="18"/>
      <c r="B187" s="11"/>
      <c r="C187" s="11"/>
      <c r="D187" s="11"/>
      <c r="E187" s="11"/>
      <c r="F187" s="11"/>
      <c r="G187" s="11"/>
      <c r="H187" s="11"/>
      <c r="I187" s="11"/>
      <c r="J187" s="11"/>
      <c r="K187" s="11"/>
      <c r="L187" s="15"/>
      <c r="M187" s="15"/>
      <c r="N187" s="15"/>
      <c r="O187" s="15"/>
      <c r="P187" s="15"/>
      <c r="Q187" s="11"/>
      <c r="R187" s="11"/>
      <c r="S187" s="11"/>
      <c r="T187" s="11"/>
      <c r="U187" s="15"/>
      <c r="V187" s="11"/>
      <c r="W187" s="11"/>
      <c r="X187" s="11"/>
      <c r="Y187" s="11"/>
      <c r="Z187" s="11"/>
    </row>
    <row r="188">
      <c r="A188" s="18"/>
      <c r="B188" s="11"/>
      <c r="C188" s="11"/>
      <c r="D188" s="11"/>
      <c r="E188" s="11"/>
      <c r="F188" s="11"/>
      <c r="G188" s="11"/>
      <c r="H188" s="11"/>
      <c r="I188" s="11"/>
      <c r="J188" s="11"/>
      <c r="K188" s="11"/>
      <c r="L188" s="15"/>
      <c r="M188" s="15"/>
      <c r="N188" s="15"/>
      <c r="O188" s="15"/>
      <c r="P188" s="15"/>
      <c r="Q188" s="11"/>
      <c r="R188" s="11"/>
      <c r="S188" s="11"/>
      <c r="T188" s="11"/>
      <c r="U188" s="15"/>
      <c r="V188" s="11"/>
      <c r="W188" s="11"/>
      <c r="X188" s="11"/>
      <c r="Y188" s="11"/>
      <c r="Z188" s="11"/>
    </row>
    <row r="189">
      <c r="A189" s="18"/>
      <c r="B189" s="11"/>
      <c r="C189" s="11"/>
      <c r="D189" s="11"/>
      <c r="E189" s="11"/>
      <c r="F189" s="11"/>
      <c r="G189" s="11"/>
      <c r="H189" s="11"/>
      <c r="I189" s="11"/>
      <c r="J189" s="11"/>
      <c r="K189" s="11"/>
      <c r="L189" s="15"/>
      <c r="M189" s="15"/>
      <c r="N189" s="15"/>
      <c r="O189" s="15"/>
      <c r="P189" s="15"/>
      <c r="Q189" s="11"/>
      <c r="R189" s="11"/>
      <c r="S189" s="11"/>
      <c r="T189" s="11"/>
      <c r="U189" s="15"/>
      <c r="V189" s="11"/>
      <c r="W189" s="11"/>
      <c r="X189" s="11"/>
      <c r="Y189" s="11"/>
      <c r="Z189" s="11"/>
    </row>
    <row r="190">
      <c r="A190" s="18"/>
      <c r="B190" s="11"/>
      <c r="C190" s="11"/>
      <c r="D190" s="11"/>
      <c r="E190" s="11"/>
      <c r="F190" s="11"/>
      <c r="G190" s="11"/>
      <c r="H190" s="11"/>
      <c r="I190" s="11"/>
      <c r="J190" s="11"/>
      <c r="K190" s="11"/>
      <c r="L190" s="15"/>
      <c r="M190" s="15"/>
      <c r="N190" s="15"/>
      <c r="O190" s="15"/>
      <c r="P190" s="15"/>
      <c r="Q190" s="11"/>
      <c r="R190" s="11"/>
      <c r="S190" s="11"/>
      <c r="T190" s="11"/>
      <c r="U190" s="15"/>
      <c r="V190" s="11"/>
      <c r="W190" s="11"/>
      <c r="X190" s="11"/>
      <c r="Y190" s="11"/>
      <c r="Z190" s="11"/>
    </row>
    <row r="191">
      <c r="A191" s="18"/>
      <c r="B191" s="11"/>
      <c r="C191" s="11"/>
      <c r="D191" s="11"/>
      <c r="E191" s="11"/>
      <c r="F191" s="11"/>
      <c r="G191" s="11"/>
      <c r="H191" s="11"/>
      <c r="I191" s="11"/>
      <c r="J191" s="11"/>
      <c r="K191" s="11"/>
      <c r="L191" s="15"/>
      <c r="M191" s="15"/>
      <c r="N191" s="15"/>
      <c r="O191" s="15"/>
      <c r="P191" s="15"/>
      <c r="Q191" s="11"/>
      <c r="R191" s="11"/>
      <c r="S191" s="11"/>
      <c r="T191" s="11"/>
      <c r="U191" s="15"/>
      <c r="V191" s="11"/>
      <c r="W191" s="11"/>
      <c r="X191" s="11"/>
      <c r="Y191" s="11"/>
      <c r="Z191" s="11"/>
    </row>
    <row r="192">
      <c r="A192" s="18"/>
      <c r="B192" s="11"/>
      <c r="C192" s="11"/>
      <c r="D192" s="11"/>
      <c r="E192" s="11"/>
      <c r="F192" s="11"/>
      <c r="G192" s="11"/>
      <c r="H192" s="11"/>
      <c r="I192" s="11"/>
      <c r="J192" s="11"/>
      <c r="K192" s="11"/>
      <c r="L192" s="15"/>
      <c r="M192" s="15"/>
      <c r="N192" s="15"/>
      <c r="O192" s="15"/>
      <c r="P192" s="15"/>
      <c r="Q192" s="11"/>
      <c r="R192" s="11"/>
      <c r="S192" s="11"/>
      <c r="T192" s="11"/>
      <c r="U192" s="15"/>
      <c r="V192" s="11"/>
      <c r="W192" s="11"/>
      <c r="X192" s="11"/>
      <c r="Y192" s="11"/>
      <c r="Z192" s="11"/>
    </row>
    <row r="193">
      <c r="A193" s="18"/>
      <c r="B193" s="11"/>
      <c r="C193" s="11"/>
      <c r="D193" s="11"/>
      <c r="E193" s="11"/>
      <c r="F193" s="11"/>
      <c r="G193" s="11"/>
      <c r="H193" s="11"/>
      <c r="I193" s="11"/>
      <c r="J193" s="11"/>
      <c r="K193" s="11"/>
      <c r="L193" s="15"/>
      <c r="M193" s="15"/>
      <c r="N193" s="15"/>
      <c r="O193" s="15"/>
      <c r="P193" s="15"/>
      <c r="Q193" s="11"/>
      <c r="R193" s="11"/>
      <c r="S193" s="11"/>
      <c r="T193" s="11"/>
      <c r="U193" s="15"/>
      <c r="V193" s="11"/>
      <c r="W193" s="11"/>
      <c r="X193" s="11"/>
      <c r="Y193" s="11"/>
      <c r="Z193" s="11"/>
    </row>
    <row r="194">
      <c r="A194" s="18"/>
      <c r="B194" s="11"/>
      <c r="C194" s="11"/>
      <c r="D194" s="11"/>
      <c r="E194" s="11"/>
      <c r="F194" s="11"/>
      <c r="G194" s="11"/>
      <c r="H194" s="11"/>
      <c r="I194" s="11"/>
      <c r="J194" s="11"/>
      <c r="K194" s="11"/>
      <c r="L194" s="15"/>
      <c r="M194" s="15"/>
      <c r="N194" s="15"/>
      <c r="O194" s="15"/>
      <c r="P194" s="15"/>
      <c r="Q194" s="11"/>
      <c r="R194" s="11"/>
      <c r="S194" s="11"/>
      <c r="T194" s="11"/>
      <c r="U194" s="15"/>
      <c r="V194" s="11"/>
      <c r="W194" s="11"/>
      <c r="X194" s="11"/>
      <c r="Y194" s="11"/>
      <c r="Z194" s="11"/>
    </row>
    <row r="195">
      <c r="A195" s="18"/>
      <c r="B195" s="11"/>
      <c r="C195" s="11"/>
      <c r="D195" s="11"/>
      <c r="E195" s="11"/>
      <c r="F195" s="11"/>
      <c r="G195" s="11"/>
      <c r="H195" s="11"/>
      <c r="I195" s="11"/>
      <c r="J195" s="11"/>
      <c r="K195" s="11"/>
      <c r="L195" s="15"/>
      <c r="M195" s="15"/>
      <c r="N195" s="15"/>
      <c r="O195" s="15"/>
      <c r="P195" s="15"/>
      <c r="Q195" s="11"/>
      <c r="R195" s="11"/>
      <c r="S195" s="11"/>
      <c r="T195" s="11"/>
      <c r="U195" s="15"/>
      <c r="V195" s="11"/>
      <c r="W195" s="11"/>
      <c r="X195" s="11"/>
      <c r="Y195" s="11"/>
      <c r="Z195" s="11"/>
    </row>
    <row r="196">
      <c r="A196" s="18"/>
      <c r="B196" s="11"/>
      <c r="C196" s="11"/>
      <c r="D196" s="11"/>
      <c r="E196" s="11"/>
      <c r="F196" s="11"/>
      <c r="G196" s="11"/>
      <c r="H196" s="11"/>
      <c r="I196" s="11"/>
      <c r="J196" s="11"/>
      <c r="K196" s="11"/>
      <c r="L196" s="15"/>
      <c r="M196" s="15"/>
      <c r="N196" s="15"/>
      <c r="O196" s="15"/>
      <c r="P196" s="15"/>
      <c r="Q196" s="11"/>
      <c r="R196" s="11"/>
      <c r="S196" s="11"/>
      <c r="T196" s="11"/>
      <c r="U196" s="15"/>
      <c r="V196" s="11"/>
      <c r="W196" s="11"/>
      <c r="X196" s="11"/>
      <c r="Y196" s="11"/>
      <c r="Z196" s="11"/>
    </row>
    <row r="197">
      <c r="A197" s="18"/>
      <c r="B197" s="11"/>
      <c r="C197" s="11"/>
      <c r="D197" s="11"/>
      <c r="E197" s="11"/>
      <c r="F197" s="11"/>
      <c r="G197" s="11"/>
      <c r="H197" s="11"/>
      <c r="I197" s="11"/>
      <c r="J197" s="11"/>
      <c r="K197" s="11"/>
      <c r="L197" s="15"/>
      <c r="M197" s="15"/>
      <c r="N197" s="15"/>
      <c r="O197" s="15"/>
      <c r="P197" s="15"/>
      <c r="Q197" s="11"/>
      <c r="R197" s="11"/>
      <c r="S197" s="11"/>
      <c r="T197" s="11"/>
      <c r="U197" s="15"/>
      <c r="V197" s="11"/>
      <c r="W197" s="11"/>
      <c r="X197" s="11"/>
      <c r="Y197" s="11"/>
      <c r="Z197" s="11"/>
    </row>
    <row r="198">
      <c r="A198" s="18"/>
      <c r="B198" s="11"/>
      <c r="C198" s="11"/>
      <c r="D198" s="11"/>
      <c r="E198" s="11"/>
      <c r="F198" s="11"/>
      <c r="G198" s="11"/>
      <c r="H198" s="11"/>
      <c r="I198" s="11"/>
      <c r="J198" s="11"/>
      <c r="K198" s="11"/>
      <c r="L198" s="15"/>
      <c r="M198" s="15"/>
      <c r="N198" s="15"/>
      <c r="O198" s="15"/>
      <c r="P198" s="15"/>
      <c r="Q198" s="11"/>
      <c r="R198" s="11"/>
      <c r="S198" s="11"/>
      <c r="T198" s="11"/>
      <c r="U198" s="15"/>
      <c r="V198" s="11"/>
      <c r="W198" s="11"/>
      <c r="X198" s="11"/>
      <c r="Y198" s="11"/>
      <c r="Z198" s="11"/>
    </row>
    <row r="199">
      <c r="A199" s="18"/>
      <c r="B199" s="11"/>
      <c r="C199" s="11"/>
      <c r="D199" s="11"/>
      <c r="E199" s="11"/>
      <c r="F199" s="11"/>
      <c r="G199" s="11"/>
      <c r="H199" s="11"/>
      <c r="I199" s="11"/>
      <c r="J199" s="11"/>
      <c r="K199" s="11"/>
      <c r="L199" s="15"/>
      <c r="M199" s="15"/>
      <c r="N199" s="15"/>
      <c r="O199" s="15"/>
      <c r="P199" s="15"/>
      <c r="Q199" s="11"/>
      <c r="R199" s="11"/>
      <c r="S199" s="11"/>
      <c r="T199" s="11"/>
      <c r="U199" s="15"/>
      <c r="V199" s="11"/>
      <c r="W199" s="11"/>
      <c r="X199" s="11"/>
      <c r="Y199" s="11"/>
      <c r="Z199" s="11"/>
    </row>
    <row r="200">
      <c r="A200" s="18"/>
      <c r="B200" s="11"/>
      <c r="C200" s="11"/>
      <c r="D200" s="11"/>
      <c r="E200" s="11"/>
      <c r="F200" s="11"/>
      <c r="G200" s="11"/>
      <c r="H200" s="11"/>
      <c r="I200" s="11"/>
      <c r="J200" s="11"/>
      <c r="K200" s="11"/>
      <c r="L200" s="15"/>
      <c r="M200" s="15"/>
      <c r="N200" s="15"/>
      <c r="O200" s="15"/>
      <c r="P200" s="15"/>
      <c r="Q200" s="11"/>
      <c r="R200" s="11"/>
      <c r="S200" s="11"/>
      <c r="T200" s="11"/>
      <c r="U200" s="15"/>
      <c r="V200" s="11"/>
      <c r="W200" s="11"/>
      <c r="X200" s="11"/>
      <c r="Y200" s="11"/>
      <c r="Z200" s="11"/>
    </row>
    <row r="201">
      <c r="A201" s="18"/>
      <c r="B201" s="11"/>
      <c r="C201" s="11"/>
      <c r="D201" s="11"/>
      <c r="E201" s="11"/>
      <c r="F201" s="11"/>
      <c r="G201" s="11"/>
      <c r="H201" s="11"/>
      <c r="I201" s="11"/>
      <c r="J201" s="11"/>
      <c r="K201" s="11"/>
      <c r="L201" s="15"/>
      <c r="M201" s="15"/>
      <c r="N201" s="15"/>
      <c r="O201" s="15"/>
      <c r="P201" s="15"/>
      <c r="Q201" s="11"/>
      <c r="R201" s="11"/>
      <c r="S201" s="11"/>
      <c r="T201" s="11"/>
      <c r="U201" s="15"/>
      <c r="V201" s="11"/>
      <c r="W201" s="11"/>
      <c r="X201" s="11"/>
      <c r="Y201" s="11"/>
      <c r="Z201" s="11"/>
    </row>
    <row r="202">
      <c r="A202" s="18"/>
      <c r="B202" s="11"/>
      <c r="C202" s="11"/>
      <c r="D202" s="11"/>
      <c r="E202" s="11"/>
      <c r="F202" s="11"/>
      <c r="G202" s="11"/>
      <c r="H202" s="11"/>
      <c r="I202" s="11"/>
      <c r="J202" s="11"/>
      <c r="K202" s="11"/>
      <c r="L202" s="15"/>
      <c r="M202" s="15"/>
      <c r="N202" s="15"/>
      <c r="O202" s="15"/>
      <c r="P202" s="15"/>
      <c r="Q202" s="11"/>
      <c r="R202" s="11"/>
      <c r="S202" s="11"/>
      <c r="T202" s="11"/>
      <c r="U202" s="15"/>
      <c r="V202" s="11"/>
      <c r="W202" s="11"/>
      <c r="X202" s="11"/>
      <c r="Y202" s="11"/>
      <c r="Z202" s="11"/>
    </row>
    <row r="203">
      <c r="A203" s="18"/>
      <c r="B203" s="11"/>
      <c r="C203" s="11"/>
      <c r="D203" s="11"/>
      <c r="E203" s="11"/>
      <c r="F203" s="11"/>
      <c r="G203" s="11"/>
      <c r="H203" s="11"/>
      <c r="I203" s="11"/>
      <c r="J203" s="11"/>
      <c r="K203" s="11"/>
      <c r="L203" s="15"/>
      <c r="M203" s="15"/>
      <c r="N203" s="15"/>
      <c r="O203" s="15"/>
      <c r="P203" s="15"/>
      <c r="Q203" s="11"/>
      <c r="R203" s="11"/>
      <c r="S203" s="11"/>
      <c r="T203" s="11"/>
      <c r="U203" s="15"/>
      <c r="V203" s="11"/>
      <c r="W203" s="11"/>
      <c r="X203" s="11"/>
      <c r="Y203" s="11"/>
      <c r="Z203" s="11"/>
    </row>
    <row r="204">
      <c r="A204" s="18"/>
      <c r="B204" s="11"/>
      <c r="C204" s="11"/>
      <c r="D204" s="11"/>
      <c r="E204" s="11"/>
      <c r="F204" s="11"/>
      <c r="G204" s="11"/>
      <c r="H204" s="11"/>
      <c r="I204" s="11"/>
      <c r="J204" s="11"/>
      <c r="K204" s="11"/>
      <c r="L204" s="15"/>
      <c r="M204" s="15"/>
      <c r="N204" s="15"/>
      <c r="O204" s="15"/>
      <c r="P204" s="15"/>
      <c r="Q204" s="11"/>
      <c r="R204" s="11"/>
      <c r="S204" s="11"/>
      <c r="T204" s="11"/>
      <c r="U204" s="15"/>
      <c r="V204" s="11"/>
      <c r="W204" s="11"/>
      <c r="X204" s="11"/>
      <c r="Y204" s="11"/>
      <c r="Z204" s="11"/>
    </row>
    <row r="205">
      <c r="A205" s="18"/>
      <c r="B205" s="11"/>
      <c r="C205" s="11"/>
      <c r="D205" s="11"/>
      <c r="E205" s="11"/>
      <c r="F205" s="11"/>
      <c r="G205" s="11"/>
      <c r="H205" s="11"/>
      <c r="I205" s="11"/>
      <c r="J205" s="11"/>
      <c r="K205" s="11"/>
      <c r="L205" s="15"/>
      <c r="M205" s="15"/>
      <c r="N205" s="15"/>
      <c r="O205" s="15"/>
      <c r="P205" s="15"/>
      <c r="Q205" s="11"/>
      <c r="R205" s="11"/>
      <c r="S205" s="11"/>
      <c r="T205" s="11"/>
      <c r="U205" s="15"/>
      <c r="V205" s="11"/>
      <c r="W205" s="11"/>
      <c r="X205" s="11"/>
      <c r="Y205" s="11"/>
      <c r="Z205" s="11"/>
    </row>
    <row r="206">
      <c r="A206" s="18"/>
      <c r="B206" s="11"/>
      <c r="C206" s="11"/>
      <c r="D206" s="11"/>
      <c r="E206" s="11"/>
      <c r="F206" s="11"/>
      <c r="G206" s="11"/>
      <c r="H206" s="11"/>
      <c r="I206" s="11"/>
      <c r="J206" s="11"/>
      <c r="K206" s="11"/>
      <c r="L206" s="15"/>
      <c r="M206" s="15"/>
      <c r="N206" s="15"/>
      <c r="O206" s="15"/>
      <c r="P206" s="15"/>
      <c r="Q206" s="11"/>
      <c r="R206" s="11"/>
      <c r="S206" s="11"/>
      <c r="T206" s="11"/>
      <c r="U206" s="15"/>
      <c r="V206" s="11"/>
      <c r="W206" s="11"/>
      <c r="X206" s="11"/>
      <c r="Y206" s="11"/>
      <c r="Z206" s="11"/>
    </row>
    <row r="207">
      <c r="A207" s="18"/>
      <c r="B207" s="11"/>
      <c r="C207" s="11"/>
      <c r="D207" s="11"/>
      <c r="E207" s="11"/>
      <c r="F207" s="11"/>
      <c r="G207" s="11"/>
      <c r="H207" s="11"/>
      <c r="I207" s="11"/>
      <c r="J207" s="11"/>
      <c r="K207" s="11"/>
      <c r="L207" s="15"/>
      <c r="M207" s="15"/>
      <c r="N207" s="15"/>
      <c r="O207" s="15"/>
      <c r="P207" s="15"/>
      <c r="Q207" s="11"/>
      <c r="R207" s="11"/>
      <c r="S207" s="11"/>
      <c r="T207" s="11"/>
      <c r="U207" s="15"/>
      <c r="V207" s="11"/>
      <c r="W207" s="11"/>
      <c r="X207" s="11"/>
      <c r="Y207" s="11"/>
      <c r="Z207" s="11"/>
    </row>
    <row r="208">
      <c r="A208" s="18"/>
      <c r="B208" s="11"/>
      <c r="C208" s="11"/>
      <c r="D208" s="11"/>
      <c r="E208" s="11"/>
      <c r="F208" s="11"/>
      <c r="G208" s="11"/>
      <c r="H208" s="11"/>
      <c r="I208" s="11"/>
      <c r="J208" s="11"/>
      <c r="K208" s="11"/>
      <c r="L208" s="15"/>
      <c r="M208" s="15"/>
      <c r="N208" s="15"/>
      <c r="O208" s="15"/>
      <c r="P208" s="15"/>
      <c r="Q208" s="11"/>
      <c r="R208" s="11"/>
      <c r="S208" s="11"/>
      <c r="T208" s="11"/>
      <c r="U208" s="15"/>
      <c r="V208" s="11"/>
      <c r="W208" s="11"/>
      <c r="X208" s="11"/>
      <c r="Y208" s="11"/>
      <c r="Z208" s="11"/>
    </row>
    <row r="209">
      <c r="A209" s="18"/>
      <c r="B209" s="11"/>
      <c r="C209" s="11"/>
      <c r="D209" s="11"/>
      <c r="E209" s="11"/>
      <c r="F209" s="11"/>
      <c r="G209" s="11"/>
      <c r="H209" s="11"/>
      <c r="I209" s="11"/>
      <c r="J209" s="11"/>
      <c r="K209" s="11"/>
      <c r="L209" s="15"/>
      <c r="M209" s="15"/>
      <c r="N209" s="15"/>
      <c r="O209" s="15"/>
      <c r="P209" s="15"/>
      <c r="Q209" s="11"/>
      <c r="R209" s="11"/>
      <c r="S209" s="11"/>
      <c r="T209" s="11"/>
      <c r="U209" s="15"/>
      <c r="V209" s="11"/>
      <c r="W209" s="11"/>
      <c r="X209" s="11"/>
      <c r="Y209" s="11"/>
      <c r="Z209" s="11"/>
    </row>
    <row r="210">
      <c r="A210" s="18"/>
      <c r="B210" s="11"/>
      <c r="C210" s="11"/>
      <c r="D210" s="11"/>
      <c r="E210" s="11"/>
      <c r="F210" s="11"/>
      <c r="G210" s="11"/>
      <c r="H210" s="11"/>
      <c r="I210" s="11"/>
      <c r="J210" s="11"/>
      <c r="K210" s="11"/>
      <c r="L210" s="15"/>
      <c r="M210" s="15"/>
      <c r="N210" s="15"/>
      <c r="O210" s="15"/>
      <c r="P210" s="15"/>
      <c r="Q210" s="11"/>
      <c r="R210" s="11"/>
      <c r="S210" s="11"/>
      <c r="T210" s="11"/>
      <c r="U210" s="15"/>
      <c r="V210" s="11"/>
      <c r="W210" s="11"/>
      <c r="X210" s="11"/>
      <c r="Y210" s="11"/>
      <c r="Z210" s="11"/>
    </row>
    <row r="211">
      <c r="A211" s="18"/>
      <c r="B211" s="11"/>
      <c r="C211" s="11"/>
      <c r="D211" s="11"/>
      <c r="E211" s="11"/>
      <c r="F211" s="11"/>
      <c r="G211" s="11"/>
      <c r="H211" s="11"/>
      <c r="I211" s="11"/>
      <c r="J211" s="11"/>
      <c r="K211" s="11"/>
      <c r="L211" s="15"/>
      <c r="M211" s="15"/>
      <c r="N211" s="15"/>
      <c r="O211" s="15"/>
      <c r="P211" s="15"/>
      <c r="Q211" s="11"/>
      <c r="R211" s="11"/>
      <c r="S211" s="11"/>
      <c r="T211" s="11"/>
      <c r="U211" s="15"/>
      <c r="V211" s="11"/>
      <c r="W211" s="11"/>
      <c r="X211" s="11"/>
      <c r="Y211" s="11"/>
      <c r="Z211" s="11"/>
    </row>
    <row r="212">
      <c r="A212" s="18"/>
      <c r="B212" s="11"/>
      <c r="C212" s="11"/>
      <c r="D212" s="11"/>
      <c r="E212" s="11"/>
      <c r="F212" s="11"/>
      <c r="G212" s="11"/>
      <c r="H212" s="11"/>
      <c r="I212" s="11"/>
      <c r="J212" s="11"/>
      <c r="K212" s="11"/>
      <c r="L212" s="15"/>
      <c r="M212" s="15"/>
      <c r="N212" s="15"/>
      <c r="O212" s="15"/>
      <c r="P212" s="15"/>
      <c r="Q212" s="11"/>
      <c r="R212" s="11"/>
      <c r="S212" s="11"/>
      <c r="T212" s="11"/>
      <c r="U212" s="15"/>
      <c r="V212" s="11"/>
      <c r="W212" s="11"/>
      <c r="X212" s="11"/>
      <c r="Y212" s="11"/>
      <c r="Z212" s="11"/>
    </row>
    <row r="213">
      <c r="A213" s="18"/>
      <c r="B213" s="11"/>
      <c r="C213" s="11"/>
      <c r="D213" s="11"/>
      <c r="E213" s="11"/>
      <c r="F213" s="11"/>
      <c r="G213" s="11"/>
      <c r="H213" s="11"/>
      <c r="I213" s="11"/>
      <c r="J213" s="11"/>
      <c r="K213" s="11"/>
      <c r="L213" s="15"/>
      <c r="M213" s="15"/>
      <c r="N213" s="15"/>
      <c r="O213" s="15"/>
      <c r="P213" s="15"/>
      <c r="Q213" s="11"/>
      <c r="R213" s="11"/>
      <c r="S213" s="11"/>
      <c r="T213" s="11"/>
      <c r="U213" s="15"/>
      <c r="V213" s="11"/>
      <c r="W213" s="11"/>
      <c r="X213" s="11"/>
      <c r="Y213" s="11"/>
      <c r="Z213" s="11"/>
    </row>
    <row r="214">
      <c r="A214" s="18"/>
      <c r="B214" s="11"/>
      <c r="C214" s="11"/>
      <c r="D214" s="11"/>
      <c r="E214" s="11"/>
      <c r="F214" s="11"/>
      <c r="G214" s="11"/>
      <c r="H214" s="11"/>
      <c r="I214" s="11"/>
      <c r="J214" s="11"/>
      <c r="K214" s="11"/>
      <c r="L214" s="15"/>
      <c r="M214" s="15"/>
      <c r="N214" s="15"/>
      <c r="O214" s="15"/>
      <c r="P214" s="15"/>
      <c r="Q214" s="11"/>
      <c r="R214" s="11"/>
      <c r="S214" s="11"/>
      <c r="T214" s="11"/>
      <c r="U214" s="15"/>
      <c r="V214" s="11"/>
      <c r="W214" s="11"/>
      <c r="X214" s="11"/>
      <c r="Y214" s="11"/>
      <c r="Z214" s="11"/>
    </row>
    <row r="215">
      <c r="A215" s="18"/>
      <c r="B215" s="11"/>
      <c r="C215" s="11"/>
      <c r="D215" s="11"/>
      <c r="E215" s="11"/>
      <c r="F215" s="11"/>
      <c r="G215" s="11"/>
      <c r="H215" s="11"/>
      <c r="I215" s="11"/>
      <c r="J215" s="11"/>
      <c r="K215" s="11"/>
      <c r="L215" s="15"/>
      <c r="M215" s="15"/>
      <c r="N215" s="15"/>
      <c r="O215" s="15"/>
      <c r="P215" s="15"/>
      <c r="Q215" s="11"/>
      <c r="R215" s="11"/>
      <c r="S215" s="11"/>
      <c r="T215" s="11"/>
      <c r="U215" s="15"/>
      <c r="V215" s="11"/>
      <c r="W215" s="11"/>
      <c r="X215" s="11"/>
      <c r="Y215" s="11"/>
      <c r="Z215" s="11"/>
    </row>
    <row r="216">
      <c r="A216" s="18"/>
      <c r="B216" s="11"/>
      <c r="C216" s="11"/>
      <c r="D216" s="11"/>
      <c r="E216" s="11"/>
      <c r="F216" s="11"/>
      <c r="G216" s="11"/>
      <c r="H216" s="11"/>
      <c r="I216" s="11"/>
      <c r="J216" s="11"/>
      <c r="K216" s="11"/>
      <c r="L216" s="15"/>
      <c r="M216" s="15"/>
      <c r="N216" s="15"/>
      <c r="O216" s="15"/>
      <c r="P216" s="15"/>
      <c r="Q216" s="11"/>
      <c r="R216" s="11"/>
      <c r="S216" s="11"/>
      <c r="T216" s="11"/>
      <c r="U216" s="15"/>
      <c r="V216" s="11"/>
      <c r="W216" s="11"/>
      <c r="X216" s="11"/>
      <c r="Y216" s="11"/>
      <c r="Z216" s="11"/>
    </row>
    <row r="217">
      <c r="A217" s="18"/>
      <c r="B217" s="11"/>
      <c r="C217" s="11"/>
      <c r="D217" s="11"/>
      <c r="E217" s="11"/>
      <c r="F217" s="11"/>
      <c r="G217" s="11"/>
      <c r="H217" s="11"/>
      <c r="I217" s="11"/>
      <c r="J217" s="11"/>
      <c r="K217" s="11"/>
      <c r="L217" s="15"/>
      <c r="M217" s="15"/>
      <c r="N217" s="15"/>
      <c r="O217" s="15"/>
      <c r="P217" s="15"/>
      <c r="Q217" s="11"/>
      <c r="R217" s="11"/>
      <c r="S217" s="11"/>
      <c r="T217" s="11"/>
      <c r="U217" s="15"/>
      <c r="V217" s="11"/>
      <c r="W217" s="11"/>
      <c r="X217" s="11"/>
      <c r="Y217" s="11"/>
      <c r="Z217" s="11"/>
    </row>
    <row r="218">
      <c r="A218" s="18"/>
      <c r="B218" s="11"/>
      <c r="C218" s="11"/>
      <c r="D218" s="11"/>
      <c r="E218" s="11"/>
      <c r="F218" s="11"/>
      <c r="G218" s="11"/>
      <c r="H218" s="11"/>
      <c r="I218" s="11"/>
      <c r="J218" s="11"/>
      <c r="K218" s="11"/>
      <c r="L218" s="15"/>
      <c r="M218" s="15"/>
      <c r="N218" s="15"/>
      <c r="O218" s="15"/>
      <c r="P218" s="15"/>
      <c r="Q218" s="11"/>
      <c r="R218" s="11"/>
      <c r="S218" s="11"/>
      <c r="T218" s="11"/>
      <c r="U218" s="15"/>
      <c r="V218" s="11"/>
      <c r="W218" s="11"/>
      <c r="X218" s="11"/>
      <c r="Y218" s="11"/>
      <c r="Z218" s="11"/>
    </row>
    <row r="219">
      <c r="A219" s="18"/>
      <c r="B219" s="11"/>
      <c r="C219" s="11"/>
      <c r="D219" s="11"/>
      <c r="E219" s="11"/>
      <c r="F219" s="11"/>
      <c r="G219" s="11"/>
      <c r="H219" s="11"/>
      <c r="I219" s="11"/>
      <c r="J219" s="11"/>
      <c r="K219" s="11"/>
      <c r="L219" s="15"/>
      <c r="M219" s="15"/>
      <c r="N219" s="15"/>
      <c r="O219" s="15"/>
      <c r="P219" s="15"/>
      <c r="Q219" s="11"/>
      <c r="R219" s="11"/>
      <c r="S219" s="11"/>
      <c r="T219" s="11"/>
      <c r="U219" s="15"/>
      <c r="V219" s="11"/>
      <c r="W219" s="11"/>
      <c r="X219" s="11"/>
      <c r="Y219" s="11"/>
      <c r="Z219" s="11"/>
    </row>
    <row r="220">
      <c r="A220" s="18"/>
      <c r="B220" s="11"/>
      <c r="C220" s="11"/>
      <c r="D220" s="11"/>
      <c r="E220" s="11"/>
      <c r="F220" s="11"/>
      <c r="G220" s="11"/>
      <c r="H220" s="11"/>
      <c r="I220" s="11"/>
      <c r="J220" s="11"/>
      <c r="K220" s="11"/>
      <c r="L220" s="15"/>
      <c r="M220" s="15"/>
      <c r="N220" s="15"/>
      <c r="O220" s="15"/>
      <c r="P220" s="15"/>
      <c r="Q220" s="11"/>
      <c r="R220" s="11"/>
      <c r="S220" s="11"/>
      <c r="T220" s="11"/>
      <c r="U220" s="15"/>
      <c r="V220" s="11"/>
      <c r="W220" s="11"/>
      <c r="X220" s="11"/>
      <c r="Y220" s="11"/>
      <c r="Z220" s="11"/>
    </row>
    <row r="221">
      <c r="A221" s="18"/>
      <c r="B221" s="11"/>
      <c r="C221" s="11"/>
      <c r="D221" s="11"/>
      <c r="E221" s="11"/>
      <c r="F221" s="11"/>
      <c r="G221" s="11"/>
      <c r="H221" s="11"/>
      <c r="I221" s="11"/>
      <c r="J221" s="11"/>
      <c r="K221" s="11"/>
      <c r="L221" s="15"/>
      <c r="M221" s="15"/>
      <c r="N221" s="15"/>
      <c r="O221" s="15"/>
      <c r="P221" s="15"/>
      <c r="Q221" s="11"/>
      <c r="R221" s="11"/>
      <c r="S221" s="11"/>
      <c r="T221" s="11"/>
      <c r="U221" s="15"/>
      <c r="V221" s="11"/>
      <c r="W221" s="11"/>
      <c r="X221" s="11"/>
      <c r="Y221" s="11"/>
      <c r="Z221" s="11"/>
    </row>
    <row r="222">
      <c r="A222" s="18"/>
      <c r="B222" s="11"/>
      <c r="C222" s="11"/>
      <c r="D222" s="11"/>
      <c r="E222" s="11"/>
      <c r="F222" s="11"/>
      <c r="G222" s="11"/>
      <c r="H222" s="11"/>
      <c r="I222" s="11"/>
      <c r="J222" s="11"/>
      <c r="K222" s="11"/>
      <c r="L222" s="15"/>
      <c r="M222" s="15"/>
      <c r="N222" s="15"/>
      <c r="O222" s="15"/>
      <c r="P222" s="15"/>
      <c r="Q222" s="11"/>
      <c r="R222" s="11"/>
      <c r="S222" s="11"/>
      <c r="T222" s="11"/>
      <c r="U222" s="15"/>
      <c r="V222" s="11"/>
      <c r="W222" s="11"/>
      <c r="X222" s="11"/>
      <c r="Y222" s="11"/>
      <c r="Z222" s="11"/>
    </row>
    <row r="223">
      <c r="A223" s="18"/>
      <c r="B223" s="11"/>
      <c r="C223" s="11"/>
      <c r="D223" s="11"/>
      <c r="E223" s="11"/>
      <c r="F223" s="11"/>
      <c r="G223" s="11"/>
      <c r="H223" s="11"/>
      <c r="I223" s="11"/>
      <c r="J223" s="11"/>
      <c r="K223" s="11"/>
      <c r="L223" s="15"/>
      <c r="M223" s="15"/>
      <c r="N223" s="15"/>
      <c r="O223" s="15"/>
      <c r="P223" s="15"/>
      <c r="Q223" s="11"/>
      <c r="R223" s="11"/>
      <c r="S223" s="11"/>
      <c r="T223" s="11"/>
      <c r="U223" s="15"/>
      <c r="V223" s="11"/>
      <c r="W223" s="11"/>
      <c r="X223" s="11"/>
      <c r="Y223" s="11"/>
      <c r="Z223" s="11"/>
    </row>
    <row r="224">
      <c r="A224" s="18"/>
      <c r="B224" s="11"/>
      <c r="C224" s="11"/>
      <c r="D224" s="11"/>
      <c r="E224" s="11"/>
      <c r="F224" s="11"/>
      <c r="G224" s="11"/>
      <c r="H224" s="11"/>
      <c r="I224" s="11"/>
      <c r="J224" s="11"/>
      <c r="K224" s="11"/>
      <c r="L224" s="15"/>
      <c r="M224" s="15"/>
      <c r="N224" s="15"/>
      <c r="O224" s="15"/>
      <c r="P224" s="15"/>
      <c r="Q224" s="11"/>
      <c r="R224" s="11"/>
      <c r="S224" s="11"/>
      <c r="T224" s="11"/>
      <c r="U224" s="15"/>
      <c r="V224" s="11"/>
      <c r="W224" s="11"/>
      <c r="X224" s="11"/>
      <c r="Y224" s="11"/>
      <c r="Z224" s="11"/>
    </row>
    <row r="225">
      <c r="A225" s="18"/>
      <c r="B225" s="11"/>
      <c r="C225" s="11"/>
      <c r="D225" s="11"/>
      <c r="E225" s="11"/>
      <c r="F225" s="11"/>
      <c r="G225" s="11"/>
      <c r="H225" s="11"/>
      <c r="I225" s="11"/>
      <c r="J225" s="11"/>
      <c r="K225" s="11"/>
      <c r="L225" s="15"/>
      <c r="M225" s="15"/>
      <c r="N225" s="15"/>
      <c r="O225" s="15"/>
      <c r="P225" s="15"/>
      <c r="Q225" s="11"/>
      <c r="R225" s="11"/>
      <c r="S225" s="11"/>
      <c r="T225" s="11"/>
      <c r="U225" s="15"/>
      <c r="V225" s="11"/>
      <c r="W225" s="11"/>
      <c r="X225" s="11"/>
      <c r="Y225" s="11"/>
      <c r="Z225" s="11"/>
    </row>
    <row r="226">
      <c r="A226" s="18"/>
      <c r="B226" s="11"/>
      <c r="C226" s="11"/>
      <c r="D226" s="11"/>
      <c r="E226" s="11"/>
      <c r="F226" s="11"/>
      <c r="G226" s="11"/>
      <c r="H226" s="11"/>
      <c r="I226" s="11"/>
      <c r="J226" s="11"/>
      <c r="K226" s="11"/>
      <c r="L226" s="15"/>
      <c r="M226" s="15"/>
      <c r="N226" s="15"/>
      <c r="O226" s="15"/>
      <c r="P226" s="15"/>
      <c r="Q226" s="11"/>
      <c r="R226" s="11"/>
      <c r="S226" s="11"/>
      <c r="T226" s="11"/>
      <c r="U226" s="15"/>
      <c r="V226" s="11"/>
      <c r="W226" s="11"/>
      <c r="X226" s="11"/>
      <c r="Y226" s="11"/>
      <c r="Z226" s="11"/>
    </row>
    <row r="227">
      <c r="A227" s="18"/>
      <c r="B227" s="11"/>
      <c r="C227" s="11"/>
      <c r="D227" s="11"/>
      <c r="E227" s="11"/>
      <c r="F227" s="11"/>
      <c r="G227" s="11"/>
      <c r="H227" s="11"/>
      <c r="I227" s="11"/>
      <c r="J227" s="11"/>
      <c r="K227" s="11"/>
      <c r="L227" s="15"/>
      <c r="M227" s="15"/>
      <c r="N227" s="15"/>
      <c r="O227" s="15"/>
      <c r="P227" s="15"/>
      <c r="Q227" s="11"/>
      <c r="R227" s="11"/>
      <c r="S227" s="11"/>
      <c r="T227" s="11"/>
      <c r="U227" s="15"/>
      <c r="V227" s="11"/>
      <c r="W227" s="11"/>
      <c r="X227" s="11"/>
      <c r="Y227" s="11"/>
      <c r="Z227" s="11"/>
    </row>
    <row r="228">
      <c r="A228" s="18"/>
      <c r="B228" s="11"/>
      <c r="C228" s="11"/>
      <c r="D228" s="11"/>
      <c r="E228" s="11"/>
      <c r="F228" s="11"/>
      <c r="G228" s="11"/>
      <c r="H228" s="11"/>
      <c r="I228" s="11"/>
      <c r="J228" s="11"/>
      <c r="K228" s="11"/>
      <c r="L228" s="15"/>
      <c r="M228" s="15"/>
      <c r="N228" s="15"/>
      <c r="O228" s="15"/>
      <c r="P228" s="15"/>
      <c r="Q228" s="11"/>
      <c r="R228" s="11"/>
      <c r="S228" s="11"/>
      <c r="T228" s="11"/>
      <c r="U228" s="15"/>
      <c r="V228" s="11"/>
      <c r="W228" s="11"/>
      <c r="X228" s="11"/>
      <c r="Y228" s="11"/>
      <c r="Z228" s="11"/>
    </row>
    <row r="229">
      <c r="A229" s="18"/>
      <c r="B229" s="11"/>
      <c r="C229" s="11"/>
      <c r="D229" s="11"/>
      <c r="E229" s="11"/>
      <c r="F229" s="11"/>
      <c r="G229" s="11"/>
      <c r="H229" s="11"/>
      <c r="I229" s="11"/>
      <c r="J229" s="11"/>
      <c r="K229" s="11"/>
      <c r="L229" s="15"/>
      <c r="M229" s="15"/>
      <c r="N229" s="15"/>
      <c r="O229" s="15"/>
      <c r="P229" s="15"/>
      <c r="Q229" s="11"/>
      <c r="R229" s="11"/>
      <c r="S229" s="11"/>
      <c r="T229" s="11"/>
      <c r="U229" s="15"/>
      <c r="V229" s="11"/>
      <c r="W229" s="11"/>
      <c r="X229" s="11"/>
      <c r="Y229" s="11"/>
      <c r="Z229" s="11"/>
    </row>
    <row r="230">
      <c r="A230" s="18"/>
      <c r="B230" s="11"/>
      <c r="C230" s="11"/>
      <c r="D230" s="11"/>
      <c r="E230" s="11"/>
      <c r="F230" s="11"/>
      <c r="G230" s="11"/>
      <c r="H230" s="11"/>
      <c r="I230" s="11"/>
      <c r="J230" s="11"/>
      <c r="K230" s="11"/>
      <c r="L230" s="15"/>
      <c r="M230" s="15"/>
      <c r="N230" s="15"/>
      <c r="O230" s="15"/>
      <c r="P230" s="15"/>
      <c r="Q230" s="11"/>
      <c r="R230" s="11"/>
      <c r="S230" s="11"/>
      <c r="T230" s="11"/>
      <c r="U230" s="15"/>
      <c r="V230" s="11"/>
      <c r="W230" s="11"/>
      <c r="X230" s="11"/>
      <c r="Y230" s="11"/>
      <c r="Z230" s="11"/>
    </row>
    <row r="231">
      <c r="A231" s="18"/>
      <c r="B231" s="11"/>
      <c r="C231" s="11"/>
      <c r="D231" s="11"/>
      <c r="E231" s="11"/>
      <c r="F231" s="11"/>
      <c r="G231" s="11"/>
      <c r="H231" s="11"/>
      <c r="I231" s="11"/>
      <c r="J231" s="11"/>
      <c r="K231" s="11"/>
      <c r="L231" s="15"/>
      <c r="M231" s="15"/>
      <c r="N231" s="15"/>
      <c r="O231" s="15"/>
      <c r="P231" s="15"/>
      <c r="Q231" s="11"/>
      <c r="R231" s="11"/>
      <c r="S231" s="11"/>
      <c r="T231" s="11"/>
      <c r="U231" s="15"/>
      <c r="V231" s="11"/>
      <c r="W231" s="11"/>
      <c r="X231" s="11"/>
      <c r="Y231" s="11"/>
      <c r="Z231" s="11"/>
    </row>
    <row r="232">
      <c r="A232" s="18"/>
      <c r="B232" s="11"/>
      <c r="C232" s="11"/>
      <c r="D232" s="11"/>
      <c r="E232" s="11"/>
      <c r="F232" s="11"/>
      <c r="G232" s="11"/>
      <c r="H232" s="11"/>
      <c r="I232" s="11"/>
      <c r="J232" s="11"/>
      <c r="K232" s="11"/>
      <c r="L232" s="15"/>
      <c r="M232" s="15"/>
      <c r="N232" s="15"/>
      <c r="O232" s="15"/>
      <c r="P232" s="15"/>
      <c r="Q232" s="11"/>
      <c r="R232" s="11"/>
      <c r="S232" s="11"/>
      <c r="T232" s="11"/>
      <c r="U232" s="15"/>
      <c r="V232" s="11"/>
      <c r="W232" s="11"/>
      <c r="X232" s="11"/>
      <c r="Y232" s="11"/>
      <c r="Z232" s="11"/>
    </row>
    <row r="233">
      <c r="A233" s="18"/>
      <c r="B233" s="11"/>
      <c r="C233" s="11"/>
      <c r="D233" s="11"/>
      <c r="E233" s="11"/>
      <c r="F233" s="11"/>
      <c r="G233" s="11"/>
      <c r="H233" s="11"/>
      <c r="I233" s="11"/>
      <c r="J233" s="11"/>
      <c r="K233" s="11"/>
      <c r="L233" s="15"/>
      <c r="M233" s="15"/>
      <c r="N233" s="15"/>
      <c r="O233" s="15"/>
      <c r="P233" s="15"/>
      <c r="Q233" s="11"/>
      <c r="R233" s="11"/>
      <c r="S233" s="11"/>
      <c r="T233" s="11"/>
      <c r="U233" s="15"/>
      <c r="V233" s="11"/>
      <c r="W233" s="11"/>
      <c r="X233" s="11"/>
      <c r="Y233" s="11"/>
      <c r="Z233" s="11"/>
    </row>
    <row r="234">
      <c r="A234" s="18"/>
      <c r="B234" s="11"/>
      <c r="C234" s="11"/>
      <c r="D234" s="11"/>
      <c r="E234" s="11"/>
      <c r="F234" s="11"/>
      <c r="G234" s="11"/>
      <c r="H234" s="11"/>
      <c r="I234" s="11"/>
      <c r="J234" s="11"/>
      <c r="K234" s="11"/>
      <c r="L234" s="15"/>
      <c r="M234" s="15"/>
      <c r="N234" s="15"/>
      <c r="O234" s="15"/>
      <c r="P234" s="15"/>
      <c r="Q234" s="11"/>
      <c r="R234" s="11"/>
      <c r="S234" s="11"/>
      <c r="T234" s="11"/>
      <c r="U234" s="15"/>
      <c r="V234" s="11"/>
      <c r="W234" s="11"/>
      <c r="X234" s="11"/>
      <c r="Y234" s="11"/>
      <c r="Z234" s="11"/>
    </row>
    <row r="235">
      <c r="A235" s="18"/>
      <c r="B235" s="11"/>
      <c r="C235" s="11"/>
      <c r="D235" s="11"/>
      <c r="E235" s="11"/>
      <c r="F235" s="11"/>
      <c r="G235" s="11"/>
      <c r="H235" s="11"/>
      <c r="I235" s="11"/>
      <c r="J235" s="11"/>
      <c r="K235" s="11"/>
      <c r="L235" s="15"/>
      <c r="M235" s="15"/>
      <c r="N235" s="15"/>
      <c r="O235" s="15"/>
      <c r="P235" s="15"/>
      <c r="Q235" s="11"/>
      <c r="R235" s="11"/>
      <c r="S235" s="11"/>
      <c r="T235" s="11"/>
      <c r="U235" s="15"/>
      <c r="V235" s="11"/>
      <c r="W235" s="11"/>
      <c r="X235" s="11"/>
      <c r="Y235" s="11"/>
      <c r="Z235" s="11"/>
    </row>
    <row r="236">
      <c r="A236" s="18"/>
      <c r="B236" s="11"/>
      <c r="C236" s="11"/>
      <c r="D236" s="11"/>
      <c r="E236" s="11"/>
      <c r="F236" s="11"/>
      <c r="G236" s="11"/>
      <c r="H236" s="11"/>
      <c r="I236" s="11"/>
      <c r="J236" s="11"/>
      <c r="K236" s="11"/>
      <c r="L236" s="15"/>
      <c r="M236" s="15"/>
      <c r="N236" s="15"/>
      <c r="O236" s="15"/>
      <c r="P236" s="15"/>
      <c r="Q236" s="11"/>
      <c r="R236" s="11"/>
      <c r="S236" s="11"/>
      <c r="T236" s="11"/>
      <c r="U236" s="15"/>
      <c r="V236" s="11"/>
      <c r="W236" s="11"/>
      <c r="X236" s="11"/>
      <c r="Y236" s="11"/>
      <c r="Z236" s="11"/>
    </row>
    <row r="237">
      <c r="A237" s="18"/>
      <c r="B237" s="11"/>
      <c r="C237" s="11"/>
      <c r="D237" s="11"/>
      <c r="E237" s="11"/>
      <c r="F237" s="11"/>
      <c r="G237" s="11"/>
      <c r="H237" s="11"/>
      <c r="I237" s="11"/>
      <c r="J237" s="11"/>
      <c r="K237" s="11"/>
      <c r="L237" s="15"/>
      <c r="M237" s="15"/>
      <c r="N237" s="15"/>
      <c r="O237" s="15"/>
      <c r="P237" s="15"/>
      <c r="Q237" s="11"/>
      <c r="R237" s="11"/>
      <c r="S237" s="11"/>
      <c r="T237" s="11"/>
      <c r="U237" s="15"/>
      <c r="V237" s="11"/>
      <c r="W237" s="11"/>
      <c r="X237" s="11"/>
      <c r="Y237" s="11"/>
      <c r="Z237" s="11"/>
    </row>
    <row r="238">
      <c r="A238" s="18"/>
      <c r="B238" s="11"/>
      <c r="C238" s="11"/>
      <c r="D238" s="11"/>
      <c r="E238" s="11"/>
      <c r="F238" s="11"/>
      <c r="G238" s="11"/>
      <c r="H238" s="11"/>
      <c r="I238" s="11"/>
      <c r="J238" s="11"/>
      <c r="K238" s="11"/>
      <c r="L238" s="15"/>
      <c r="M238" s="15"/>
      <c r="N238" s="15"/>
      <c r="O238" s="15"/>
      <c r="P238" s="15"/>
      <c r="Q238" s="11"/>
      <c r="R238" s="11"/>
      <c r="S238" s="11"/>
      <c r="T238" s="11"/>
      <c r="U238" s="15"/>
      <c r="V238" s="11"/>
      <c r="W238" s="11"/>
      <c r="X238" s="11"/>
      <c r="Y238" s="11"/>
      <c r="Z238" s="11"/>
    </row>
    <row r="239">
      <c r="A239" s="18"/>
      <c r="B239" s="11"/>
      <c r="C239" s="11"/>
      <c r="D239" s="11"/>
      <c r="E239" s="11"/>
      <c r="F239" s="11"/>
      <c r="G239" s="11"/>
      <c r="H239" s="11"/>
      <c r="I239" s="11"/>
      <c r="J239" s="11"/>
      <c r="K239" s="11"/>
      <c r="L239" s="15"/>
      <c r="M239" s="15"/>
      <c r="N239" s="15"/>
      <c r="O239" s="15"/>
      <c r="P239" s="15"/>
      <c r="Q239" s="11"/>
      <c r="R239" s="11"/>
      <c r="S239" s="11"/>
      <c r="T239" s="11"/>
      <c r="U239" s="15"/>
      <c r="V239" s="11"/>
      <c r="W239" s="11"/>
      <c r="X239" s="11"/>
      <c r="Y239" s="11"/>
      <c r="Z239" s="11"/>
    </row>
    <row r="240">
      <c r="A240" s="18"/>
      <c r="B240" s="11"/>
      <c r="C240" s="11"/>
      <c r="D240" s="11"/>
      <c r="E240" s="11"/>
      <c r="F240" s="11"/>
      <c r="G240" s="11"/>
      <c r="H240" s="11"/>
      <c r="I240" s="11"/>
      <c r="J240" s="11"/>
      <c r="K240" s="11"/>
      <c r="L240" s="15"/>
      <c r="M240" s="15"/>
      <c r="N240" s="15"/>
      <c r="O240" s="15"/>
      <c r="P240" s="15"/>
      <c r="Q240" s="11"/>
      <c r="R240" s="11"/>
      <c r="S240" s="11"/>
      <c r="T240" s="11"/>
      <c r="U240" s="15"/>
      <c r="V240" s="11"/>
      <c r="W240" s="11"/>
      <c r="X240" s="11"/>
      <c r="Y240" s="11"/>
      <c r="Z240" s="11"/>
    </row>
    <row r="241">
      <c r="A241" s="18"/>
      <c r="B241" s="11"/>
      <c r="C241" s="11"/>
      <c r="D241" s="11"/>
      <c r="E241" s="11"/>
      <c r="F241" s="11"/>
      <c r="G241" s="11"/>
      <c r="H241" s="11"/>
      <c r="I241" s="11"/>
      <c r="J241" s="11"/>
      <c r="K241" s="11"/>
      <c r="L241" s="15"/>
      <c r="M241" s="15"/>
      <c r="N241" s="15"/>
      <c r="O241" s="15"/>
      <c r="P241" s="15"/>
      <c r="Q241" s="11"/>
      <c r="R241" s="11"/>
      <c r="S241" s="11"/>
      <c r="T241" s="11"/>
      <c r="U241" s="15"/>
      <c r="V241" s="11"/>
      <c r="W241" s="11"/>
      <c r="X241" s="11"/>
      <c r="Y241" s="11"/>
      <c r="Z241" s="11"/>
    </row>
    <row r="242">
      <c r="A242" s="18"/>
      <c r="B242" s="11"/>
      <c r="C242" s="11"/>
      <c r="D242" s="11"/>
      <c r="E242" s="11"/>
      <c r="F242" s="11"/>
      <c r="G242" s="11"/>
      <c r="H242" s="11"/>
      <c r="I242" s="11"/>
      <c r="J242" s="11"/>
      <c r="K242" s="11"/>
      <c r="L242" s="15"/>
      <c r="M242" s="15"/>
      <c r="N242" s="15"/>
      <c r="O242" s="15"/>
      <c r="P242" s="15"/>
      <c r="Q242" s="11"/>
      <c r="R242" s="11"/>
      <c r="S242" s="11"/>
      <c r="T242" s="11"/>
      <c r="U242" s="15"/>
      <c r="V242" s="11"/>
      <c r="W242" s="11"/>
      <c r="X242" s="11"/>
      <c r="Y242" s="11"/>
      <c r="Z242" s="11"/>
    </row>
    <row r="243">
      <c r="A243" s="18"/>
      <c r="B243" s="11"/>
      <c r="C243" s="11"/>
      <c r="D243" s="11"/>
      <c r="E243" s="11"/>
      <c r="F243" s="11"/>
      <c r="G243" s="11"/>
      <c r="H243" s="11"/>
      <c r="I243" s="11"/>
      <c r="J243" s="11"/>
      <c r="K243" s="11"/>
      <c r="L243" s="15"/>
      <c r="M243" s="15"/>
      <c r="N243" s="15"/>
      <c r="O243" s="15"/>
      <c r="P243" s="15"/>
      <c r="Q243" s="11"/>
      <c r="R243" s="11"/>
      <c r="S243" s="11"/>
      <c r="T243" s="11"/>
      <c r="U243" s="15"/>
      <c r="V243" s="11"/>
      <c r="W243" s="11"/>
      <c r="X243" s="11"/>
      <c r="Y243" s="11"/>
      <c r="Z243" s="11"/>
    </row>
    <row r="244">
      <c r="A244" s="18"/>
      <c r="B244" s="11"/>
      <c r="C244" s="11"/>
      <c r="D244" s="11"/>
      <c r="E244" s="11"/>
      <c r="F244" s="11"/>
      <c r="G244" s="11"/>
      <c r="H244" s="11"/>
      <c r="I244" s="11"/>
      <c r="J244" s="11"/>
      <c r="K244" s="11"/>
      <c r="L244" s="15"/>
      <c r="M244" s="15"/>
      <c r="N244" s="15"/>
      <c r="O244" s="15"/>
      <c r="P244" s="15"/>
      <c r="Q244" s="11"/>
      <c r="R244" s="11"/>
      <c r="S244" s="11"/>
      <c r="T244" s="11"/>
      <c r="U244" s="15"/>
      <c r="V244" s="11"/>
      <c r="W244" s="11"/>
      <c r="X244" s="11"/>
      <c r="Y244" s="11"/>
      <c r="Z244" s="11"/>
    </row>
    <row r="245">
      <c r="A245" s="18"/>
      <c r="B245" s="11"/>
      <c r="C245" s="11"/>
      <c r="D245" s="11"/>
      <c r="E245" s="11"/>
      <c r="F245" s="11"/>
      <c r="G245" s="11"/>
      <c r="H245" s="11"/>
      <c r="I245" s="11"/>
      <c r="J245" s="11"/>
      <c r="K245" s="11"/>
      <c r="L245" s="15"/>
      <c r="M245" s="15"/>
      <c r="N245" s="15"/>
      <c r="O245" s="15"/>
      <c r="P245" s="15"/>
      <c r="Q245" s="11"/>
      <c r="R245" s="11"/>
      <c r="S245" s="11"/>
      <c r="T245" s="11"/>
      <c r="U245" s="15"/>
      <c r="V245" s="11"/>
      <c r="W245" s="11"/>
      <c r="X245" s="11"/>
      <c r="Y245" s="11"/>
      <c r="Z245" s="11"/>
    </row>
    <row r="246">
      <c r="A246" s="18"/>
      <c r="B246" s="11"/>
      <c r="C246" s="11"/>
      <c r="D246" s="11"/>
      <c r="E246" s="11"/>
      <c r="F246" s="11"/>
      <c r="G246" s="11"/>
      <c r="H246" s="11"/>
      <c r="I246" s="11"/>
      <c r="J246" s="11"/>
      <c r="K246" s="11"/>
      <c r="L246" s="15"/>
      <c r="M246" s="15"/>
      <c r="N246" s="15"/>
      <c r="O246" s="15"/>
      <c r="P246" s="15"/>
      <c r="Q246" s="11"/>
      <c r="R246" s="11"/>
      <c r="S246" s="11"/>
      <c r="T246" s="11"/>
      <c r="U246" s="15"/>
      <c r="V246" s="11"/>
      <c r="W246" s="11"/>
      <c r="X246" s="11"/>
      <c r="Y246" s="11"/>
      <c r="Z246" s="11"/>
    </row>
    <row r="247">
      <c r="A247" s="18"/>
      <c r="B247" s="11"/>
      <c r="C247" s="11"/>
      <c r="D247" s="11"/>
      <c r="E247" s="11"/>
      <c r="F247" s="11"/>
      <c r="G247" s="11"/>
      <c r="H247" s="11"/>
      <c r="I247" s="11"/>
      <c r="J247" s="11"/>
      <c r="K247" s="11"/>
      <c r="L247" s="15"/>
      <c r="M247" s="15"/>
      <c r="N247" s="15"/>
      <c r="O247" s="15"/>
      <c r="P247" s="15"/>
      <c r="Q247" s="11"/>
      <c r="R247" s="11"/>
      <c r="S247" s="11"/>
      <c r="T247" s="11"/>
      <c r="U247" s="15"/>
      <c r="V247" s="11"/>
      <c r="W247" s="11"/>
      <c r="X247" s="11"/>
      <c r="Y247" s="11"/>
      <c r="Z247" s="11"/>
    </row>
    <row r="248">
      <c r="A248" s="18"/>
      <c r="B248" s="11"/>
      <c r="C248" s="11"/>
      <c r="D248" s="11"/>
      <c r="E248" s="11"/>
      <c r="F248" s="11"/>
      <c r="G248" s="11"/>
      <c r="H248" s="11"/>
      <c r="I248" s="11"/>
      <c r="J248" s="11"/>
      <c r="K248" s="11"/>
      <c r="L248" s="15"/>
      <c r="M248" s="15"/>
      <c r="N248" s="15"/>
      <c r="O248" s="15"/>
      <c r="P248" s="15"/>
      <c r="Q248" s="11"/>
      <c r="R248" s="11"/>
      <c r="S248" s="11"/>
      <c r="T248" s="11"/>
      <c r="U248" s="15"/>
      <c r="V248" s="11"/>
      <c r="W248" s="11"/>
      <c r="X248" s="11"/>
      <c r="Y248" s="11"/>
      <c r="Z248" s="11"/>
    </row>
    <row r="249">
      <c r="A249" s="18"/>
      <c r="B249" s="11"/>
      <c r="C249" s="11"/>
      <c r="D249" s="11"/>
      <c r="E249" s="11"/>
      <c r="F249" s="11"/>
      <c r="G249" s="11"/>
      <c r="H249" s="11"/>
      <c r="I249" s="11"/>
      <c r="J249" s="11"/>
      <c r="K249" s="11"/>
      <c r="L249" s="15"/>
      <c r="M249" s="15"/>
      <c r="N249" s="15"/>
      <c r="O249" s="15"/>
      <c r="P249" s="15"/>
      <c r="Q249" s="11"/>
      <c r="R249" s="11"/>
      <c r="S249" s="11"/>
      <c r="T249" s="11"/>
      <c r="U249" s="15"/>
      <c r="V249" s="11"/>
      <c r="W249" s="11"/>
      <c r="X249" s="11"/>
      <c r="Y249" s="11"/>
      <c r="Z249" s="11"/>
    </row>
    <row r="250">
      <c r="A250" s="18"/>
      <c r="B250" s="11"/>
      <c r="C250" s="11"/>
      <c r="D250" s="11"/>
      <c r="E250" s="11"/>
      <c r="F250" s="11"/>
      <c r="G250" s="11"/>
      <c r="H250" s="11"/>
      <c r="I250" s="11"/>
      <c r="J250" s="11"/>
      <c r="K250" s="11"/>
      <c r="L250" s="15"/>
      <c r="M250" s="15"/>
      <c r="N250" s="15"/>
      <c r="O250" s="15"/>
      <c r="P250" s="15"/>
      <c r="Q250" s="11"/>
      <c r="R250" s="11"/>
      <c r="S250" s="11"/>
      <c r="T250" s="11"/>
      <c r="U250" s="15"/>
      <c r="V250" s="11"/>
      <c r="W250" s="11"/>
      <c r="X250" s="11"/>
      <c r="Y250" s="11"/>
      <c r="Z250" s="11"/>
    </row>
    <row r="251">
      <c r="A251" s="18"/>
      <c r="B251" s="11"/>
      <c r="C251" s="11"/>
      <c r="D251" s="11"/>
      <c r="E251" s="11"/>
      <c r="F251" s="11"/>
      <c r="G251" s="11"/>
      <c r="H251" s="11"/>
      <c r="I251" s="11"/>
      <c r="J251" s="11"/>
      <c r="K251" s="11"/>
      <c r="L251" s="15"/>
      <c r="M251" s="15"/>
      <c r="N251" s="15"/>
      <c r="O251" s="15"/>
      <c r="P251" s="15"/>
      <c r="Q251" s="11"/>
      <c r="R251" s="11"/>
      <c r="S251" s="11"/>
      <c r="T251" s="11"/>
      <c r="U251" s="15"/>
      <c r="V251" s="11"/>
      <c r="W251" s="11"/>
      <c r="X251" s="11"/>
      <c r="Y251" s="11"/>
      <c r="Z251" s="11"/>
    </row>
    <row r="252">
      <c r="A252" s="18"/>
      <c r="B252" s="11"/>
      <c r="C252" s="11"/>
      <c r="D252" s="11"/>
      <c r="E252" s="11"/>
      <c r="F252" s="11"/>
      <c r="G252" s="11"/>
      <c r="H252" s="11"/>
      <c r="I252" s="11"/>
      <c r="J252" s="11"/>
      <c r="K252" s="11"/>
      <c r="L252" s="15"/>
      <c r="M252" s="15"/>
      <c r="N252" s="15"/>
      <c r="O252" s="15"/>
      <c r="P252" s="15"/>
      <c r="Q252" s="11"/>
      <c r="R252" s="11"/>
      <c r="S252" s="11"/>
      <c r="T252" s="11"/>
      <c r="U252" s="15"/>
      <c r="V252" s="11"/>
      <c r="W252" s="11"/>
      <c r="X252" s="11"/>
      <c r="Y252" s="11"/>
      <c r="Z252" s="11"/>
    </row>
    <row r="253">
      <c r="A253" s="18"/>
      <c r="B253" s="11"/>
      <c r="C253" s="11"/>
      <c r="D253" s="11"/>
      <c r="E253" s="11"/>
      <c r="F253" s="11"/>
      <c r="G253" s="11"/>
      <c r="H253" s="11"/>
      <c r="I253" s="11"/>
      <c r="J253" s="11"/>
      <c r="K253" s="11"/>
      <c r="L253" s="15"/>
      <c r="M253" s="15"/>
      <c r="N253" s="15"/>
      <c r="O253" s="15"/>
      <c r="P253" s="15"/>
      <c r="Q253" s="11"/>
      <c r="R253" s="11"/>
      <c r="S253" s="11"/>
      <c r="T253" s="11"/>
      <c r="U253" s="15"/>
      <c r="V253" s="11"/>
      <c r="W253" s="11"/>
      <c r="X253" s="11"/>
      <c r="Y253" s="11"/>
      <c r="Z253" s="11"/>
    </row>
    <row r="254">
      <c r="A254" s="18"/>
      <c r="B254" s="11"/>
      <c r="C254" s="11"/>
      <c r="D254" s="11"/>
      <c r="E254" s="11"/>
      <c r="F254" s="11"/>
      <c r="G254" s="11"/>
      <c r="H254" s="11"/>
      <c r="I254" s="11"/>
      <c r="J254" s="11"/>
      <c r="K254" s="11"/>
      <c r="L254" s="15"/>
      <c r="M254" s="15"/>
      <c r="N254" s="15"/>
      <c r="O254" s="15"/>
      <c r="P254" s="15"/>
      <c r="Q254" s="11"/>
      <c r="R254" s="11"/>
      <c r="S254" s="11"/>
      <c r="T254" s="11"/>
      <c r="U254" s="15"/>
      <c r="V254" s="11"/>
      <c r="W254" s="11"/>
      <c r="X254" s="11"/>
      <c r="Y254" s="11"/>
      <c r="Z254" s="11"/>
    </row>
    <row r="255">
      <c r="A255" s="18"/>
      <c r="B255" s="11"/>
      <c r="C255" s="11"/>
      <c r="D255" s="11"/>
      <c r="E255" s="11"/>
      <c r="F255" s="11"/>
      <c r="G255" s="11"/>
      <c r="H255" s="11"/>
      <c r="I255" s="11"/>
      <c r="J255" s="11"/>
      <c r="K255" s="11"/>
      <c r="L255" s="15"/>
      <c r="M255" s="15"/>
      <c r="N255" s="15"/>
      <c r="O255" s="15"/>
      <c r="P255" s="15"/>
      <c r="Q255" s="11"/>
      <c r="R255" s="11"/>
      <c r="S255" s="11"/>
      <c r="T255" s="11"/>
      <c r="U255" s="15"/>
      <c r="V255" s="11"/>
      <c r="W255" s="11"/>
      <c r="X255" s="11"/>
      <c r="Y255" s="11"/>
      <c r="Z255" s="11"/>
    </row>
    <row r="256">
      <c r="A256" s="18"/>
      <c r="B256" s="11"/>
      <c r="C256" s="11"/>
      <c r="D256" s="11"/>
      <c r="E256" s="11"/>
      <c r="F256" s="11"/>
      <c r="G256" s="11"/>
      <c r="H256" s="11"/>
      <c r="I256" s="11"/>
      <c r="J256" s="11"/>
      <c r="K256" s="11"/>
      <c r="L256" s="15"/>
      <c r="M256" s="15"/>
      <c r="N256" s="15"/>
      <c r="O256" s="15"/>
      <c r="P256" s="15"/>
      <c r="Q256" s="11"/>
      <c r="R256" s="11"/>
      <c r="S256" s="11"/>
      <c r="T256" s="11"/>
      <c r="U256" s="15"/>
      <c r="V256" s="11"/>
      <c r="W256" s="11"/>
      <c r="X256" s="11"/>
      <c r="Y256" s="11"/>
      <c r="Z256" s="11"/>
    </row>
    <row r="257">
      <c r="A257" s="18"/>
      <c r="B257" s="11"/>
      <c r="C257" s="11"/>
      <c r="D257" s="11"/>
      <c r="E257" s="11"/>
      <c r="F257" s="11"/>
      <c r="G257" s="11"/>
      <c r="H257" s="11"/>
      <c r="I257" s="11"/>
      <c r="J257" s="11"/>
      <c r="K257" s="11"/>
      <c r="L257" s="15"/>
      <c r="M257" s="15"/>
      <c r="N257" s="15"/>
      <c r="O257" s="15"/>
      <c r="P257" s="15"/>
      <c r="Q257" s="11"/>
      <c r="R257" s="11"/>
      <c r="S257" s="11"/>
      <c r="T257" s="11"/>
      <c r="U257" s="15"/>
      <c r="V257" s="11"/>
      <c r="W257" s="11"/>
      <c r="X257" s="11"/>
      <c r="Y257" s="11"/>
      <c r="Z257" s="11"/>
    </row>
    <row r="258">
      <c r="A258" s="18"/>
      <c r="B258" s="11"/>
      <c r="C258" s="11"/>
      <c r="D258" s="11"/>
      <c r="E258" s="11"/>
      <c r="F258" s="11"/>
      <c r="G258" s="11"/>
      <c r="H258" s="11"/>
      <c r="I258" s="11"/>
      <c r="J258" s="11"/>
      <c r="K258" s="11"/>
      <c r="L258" s="15"/>
      <c r="M258" s="15"/>
      <c r="N258" s="15"/>
      <c r="O258" s="15"/>
      <c r="P258" s="15"/>
      <c r="Q258" s="11"/>
      <c r="R258" s="11"/>
      <c r="S258" s="11"/>
      <c r="T258" s="11"/>
      <c r="U258" s="15"/>
      <c r="V258" s="11"/>
      <c r="W258" s="11"/>
      <c r="X258" s="11"/>
      <c r="Y258" s="11"/>
      <c r="Z258" s="11"/>
    </row>
    <row r="259">
      <c r="A259" s="18"/>
      <c r="B259" s="11"/>
      <c r="C259" s="11"/>
      <c r="D259" s="11"/>
      <c r="E259" s="11"/>
      <c r="F259" s="11"/>
      <c r="G259" s="11"/>
      <c r="H259" s="11"/>
      <c r="I259" s="11"/>
      <c r="J259" s="11"/>
      <c r="K259" s="11"/>
      <c r="L259" s="15"/>
      <c r="M259" s="15"/>
      <c r="N259" s="15"/>
      <c r="O259" s="15"/>
      <c r="P259" s="15"/>
      <c r="Q259" s="11"/>
      <c r="R259" s="11"/>
      <c r="S259" s="11"/>
      <c r="T259" s="11"/>
      <c r="U259" s="15"/>
      <c r="V259" s="11"/>
      <c r="W259" s="11"/>
      <c r="X259" s="11"/>
      <c r="Y259" s="11"/>
      <c r="Z259" s="11"/>
    </row>
    <row r="260">
      <c r="A260" s="18"/>
      <c r="B260" s="11"/>
      <c r="C260" s="11"/>
      <c r="D260" s="11"/>
      <c r="E260" s="11"/>
      <c r="F260" s="11"/>
      <c r="G260" s="11"/>
      <c r="H260" s="11"/>
      <c r="I260" s="11"/>
      <c r="J260" s="11"/>
      <c r="K260" s="11"/>
      <c r="L260" s="15"/>
      <c r="M260" s="15"/>
      <c r="N260" s="15"/>
      <c r="O260" s="15"/>
      <c r="P260" s="15"/>
      <c r="Q260" s="11"/>
      <c r="R260" s="11"/>
      <c r="S260" s="11"/>
      <c r="T260" s="11"/>
      <c r="U260" s="15"/>
      <c r="V260" s="11"/>
      <c r="W260" s="11"/>
      <c r="X260" s="11"/>
      <c r="Y260" s="11"/>
      <c r="Z260" s="11"/>
    </row>
    <row r="261">
      <c r="A261" s="18"/>
      <c r="B261" s="11"/>
      <c r="C261" s="11"/>
      <c r="D261" s="11"/>
      <c r="E261" s="11"/>
      <c r="F261" s="11"/>
      <c r="G261" s="11"/>
      <c r="H261" s="11"/>
      <c r="I261" s="11"/>
      <c r="J261" s="11"/>
      <c r="K261" s="11"/>
      <c r="L261" s="15"/>
      <c r="M261" s="15"/>
      <c r="N261" s="15"/>
      <c r="O261" s="15"/>
      <c r="P261" s="15"/>
      <c r="Q261" s="11"/>
      <c r="R261" s="11"/>
      <c r="S261" s="11"/>
      <c r="T261" s="11"/>
      <c r="U261" s="15"/>
      <c r="V261" s="11"/>
      <c r="W261" s="11"/>
      <c r="X261" s="11"/>
      <c r="Y261" s="11"/>
      <c r="Z261" s="11"/>
    </row>
    <row r="262">
      <c r="A262" s="18"/>
      <c r="B262" s="11"/>
      <c r="C262" s="11"/>
      <c r="D262" s="11"/>
      <c r="E262" s="11"/>
      <c r="F262" s="11"/>
      <c r="G262" s="11"/>
      <c r="H262" s="11"/>
      <c r="I262" s="11"/>
      <c r="J262" s="11"/>
      <c r="K262" s="11"/>
      <c r="L262" s="15"/>
      <c r="M262" s="15"/>
      <c r="N262" s="15"/>
      <c r="O262" s="15"/>
      <c r="P262" s="15"/>
      <c r="Q262" s="11"/>
      <c r="R262" s="11"/>
      <c r="S262" s="11"/>
      <c r="T262" s="11"/>
      <c r="U262" s="15"/>
      <c r="V262" s="11"/>
      <c r="W262" s="11"/>
      <c r="X262" s="11"/>
      <c r="Y262" s="11"/>
      <c r="Z262" s="11"/>
    </row>
    <row r="263">
      <c r="A263" s="18"/>
      <c r="B263" s="11"/>
      <c r="C263" s="11"/>
      <c r="D263" s="11"/>
      <c r="E263" s="11"/>
      <c r="F263" s="11"/>
      <c r="G263" s="11"/>
      <c r="H263" s="11"/>
      <c r="I263" s="11"/>
      <c r="J263" s="11"/>
      <c r="K263" s="11"/>
      <c r="L263" s="15"/>
      <c r="M263" s="15"/>
      <c r="N263" s="15"/>
      <c r="O263" s="15"/>
      <c r="P263" s="15"/>
      <c r="Q263" s="11"/>
      <c r="R263" s="11"/>
      <c r="S263" s="11"/>
      <c r="T263" s="11"/>
      <c r="U263" s="15"/>
      <c r="V263" s="11"/>
      <c r="W263" s="11"/>
      <c r="X263" s="11"/>
      <c r="Y263" s="11"/>
      <c r="Z263" s="11"/>
    </row>
    <row r="264">
      <c r="A264" s="18"/>
      <c r="B264" s="11"/>
      <c r="C264" s="11"/>
      <c r="D264" s="11"/>
      <c r="E264" s="11"/>
      <c r="F264" s="11"/>
      <c r="G264" s="11"/>
      <c r="H264" s="11"/>
      <c r="I264" s="11"/>
      <c r="J264" s="11"/>
      <c r="K264" s="11"/>
      <c r="L264" s="15"/>
      <c r="M264" s="15"/>
      <c r="N264" s="15"/>
      <c r="O264" s="15"/>
      <c r="P264" s="15"/>
      <c r="Q264" s="11"/>
      <c r="R264" s="11"/>
      <c r="S264" s="11"/>
      <c r="T264" s="11"/>
      <c r="U264" s="15"/>
      <c r="V264" s="11"/>
      <c r="W264" s="11"/>
      <c r="X264" s="11"/>
      <c r="Y264" s="11"/>
      <c r="Z264" s="11"/>
    </row>
    <row r="265">
      <c r="A265" s="18"/>
      <c r="B265" s="11"/>
      <c r="C265" s="11"/>
      <c r="D265" s="11"/>
      <c r="E265" s="11"/>
      <c r="F265" s="11"/>
      <c r="G265" s="11"/>
      <c r="H265" s="11"/>
      <c r="I265" s="11"/>
      <c r="J265" s="11"/>
      <c r="K265" s="11"/>
      <c r="L265" s="15"/>
      <c r="M265" s="15"/>
      <c r="N265" s="15"/>
      <c r="O265" s="15"/>
      <c r="P265" s="15"/>
      <c r="Q265" s="11"/>
      <c r="R265" s="11"/>
      <c r="S265" s="11"/>
      <c r="T265" s="11"/>
      <c r="U265" s="15"/>
      <c r="V265" s="11"/>
      <c r="W265" s="11"/>
      <c r="X265" s="11"/>
      <c r="Y265" s="11"/>
      <c r="Z265" s="11"/>
    </row>
    <row r="266">
      <c r="A266" s="18"/>
      <c r="B266" s="11"/>
      <c r="C266" s="11"/>
      <c r="D266" s="11"/>
      <c r="E266" s="11"/>
      <c r="F266" s="11"/>
      <c r="G266" s="11"/>
      <c r="H266" s="11"/>
      <c r="I266" s="11"/>
      <c r="J266" s="11"/>
      <c r="K266" s="11"/>
      <c r="L266" s="15"/>
      <c r="M266" s="15"/>
      <c r="N266" s="15"/>
      <c r="O266" s="15"/>
      <c r="P266" s="15"/>
      <c r="Q266" s="11"/>
      <c r="R266" s="11"/>
      <c r="S266" s="11"/>
      <c r="T266" s="11"/>
      <c r="U266" s="15"/>
      <c r="V266" s="11"/>
      <c r="W266" s="11"/>
      <c r="X266" s="11"/>
      <c r="Y266" s="11"/>
      <c r="Z266" s="11"/>
    </row>
    <row r="267">
      <c r="A267" s="18"/>
      <c r="B267" s="11"/>
      <c r="C267" s="11"/>
      <c r="D267" s="11"/>
      <c r="E267" s="11"/>
      <c r="F267" s="11"/>
      <c r="G267" s="11"/>
      <c r="H267" s="11"/>
      <c r="I267" s="11"/>
      <c r="J267" s="11"/>
      <c r="K267" s="11"/>
      <c r="L267" s="15"/>
      <c r="M267" s="15"/>
      <c r="N267" s="15"/>
      <c r="O267" s="15"/>
      <c r="P267" s="15"/>
      <c r="Q267" s="11"/>
      <c r="R267" s="11"/>
      <c r="S267" s="11"/>
      <c r="T267" s="11"/>
      <c r="U267" s="15"/>
      <c r="V267" s="11"/>
      <c r="W267" s="11"/>
      <c r="X267" s="11"/>
      <c r="Y267" s="11"/>
      <c r="Z267" s="11"/>
    </row>
    <row r="268">
      <c r="A268" s="18"/>
      <c r="B268" s="11"/>
      <c r="C268" s="11"/>
      <c r="D268" s="11"/>
      <c r="E268" s="11"/>
      <c r="F268" s="11"/>
      <c r="G268" s="11"/>
      <c r="H268" s="11"/>
      <c r="I268" s="11"/>
      <c r="J268" s="11"/>
      <c r="K268" s="11"/>
      <c r="L268" s="15"/>
      <c r="M268" s="15"/>
      <c r="N268" s="15"/>
      <c r="O268" s="15"/>
      <c r="P268" s="15"/>
      <c r="Q268" s="11"/>
      <c r="R268" s="11"/>
      <c r="S268" s="11"/>
      <c r="T268" s="11"/>
      <c r="U268" s="15"/>
      <c r="V268" s="11"/>
      <c r="W268" s="11"/>
      <c r="X268" s="11"/>
      <c r="Y268" s="11"/>
      <c r="Z268" s="11"/>
    </row>
    <row r="269">
      <c r="A269" s="18"/>
      <c r="B269" s="11"/>
      <c r="C269" s="11"/>
      <c r="D269" s="11"/>
      <c r="E269" s="11"/>
      <c r="F269" s="11"/>
      <c r="G269" s="11"/>
      <c r="H269" s="11"/>
      <c r="I269" s="11"/>
      <c r="J269" s="11"/>
      <c r="K269" s="11"/>
      <c r="L269" s="15"/>
      <c r="M269" s="15"/>
      <c r="N269" s="15"/>
      <c r="O269" s="15"/>
      <c r="P269" s="15"/>
      <c r="Q269" s="11"/>
      <c r="R269" s="11"/>
      <c r="S269" s="11"/>
      <c r="T269" s="11"/>
      <c r="U269" s="15"/>
      <c r="V269" s="11"/>
      <c r="W269" s="11"/>
      <c r="X269" s="11"/>
      <c r="Y269" s="11"/>
      <c r="Z269" s="11"/>
    </row>
    <row r="270">
      <c r="A270" s="18"/>
      <c r="B270" s="11"/>
      <c r="C270" s="11"/>
      <c r="D270" s="11"/>
      <c r="E270" s="11"/>
      <c r="F270" s="11"/>
      <c r="G270" s="11"/>
      <c r="H270" s="11"/>
      <c r="I270" s="11"/>
      <c r="J270" s="11"/>
      <c r="K270" s="11"/>
      <c r="L270" s="15"/>
      <c r="M270" s="15"/>
      <c r="N270" s="15"/>
      <c r="O270" s="15"/>
      <c r="P270" s="15"/>
      <c r="Q270" s="11"/>
      <c r="R270" s="11"/>
      <c r="S270" s="11"/>
      <c r="T270" s="11"/>
      <c r="U270" s="15"/>
      <c r="V270" s="11"/>
      <c r="W270" s="11"/>
      <c r="X270" s="11"/>
      <c r="Y270" s="11"/>
      <c r="Z270" s="11"/>
    </row>
    <row r="271">
      <c r="A271" s="18"/>
      <c r="B271" s="11"/>
      <c r="C271" s="11"/>
      <c r="D271" s="11"/>
      <c r="E271" s="11"/>
      <c r="F271" s="11"/>
      <c r="G271" s="11"/>
      <c r="H271" s="11"/>
      <c r="I271" s="11"/>
      <c r="J271" s="11"/>
      <c r="K271" s="11"/>
      <c r="L271" s="15"/>
      <c r="M271" s="15"/>
      <c r="N271" s="15"/>
      <c r="O271" s="15"/>
      <c r="P271" s="15"/>
      <c r="Q271" s="11"/>
      <c r="R271" s="11"/>
      <c r="S271" s="11"/>
      <c r="T271" s="11"/>
      <c r="U271" s="15"/>
      <c r="V271" s="11"/>
      <c r="W271" s="11"/>
      <c r="X271" s="11"/>
      <c r="Y271" s="11"/>
      <c r="Z271" s="11"/>
    </row>
    <row r="272">
      <c r="A272" s="18"/>
      <c r="B272" s="11"/>
      <c r="C272" s="11"/>
      <c r="D272" s="11"/>
      <c r="E272" s="11"/>
      <c r="F272" s="11"/>
      <c r="G272" s="11"/>
      <c r="H272" s="11"/>
      <c r="I272" s="11"/>
      <c r="J272" s="11"/>
      <c r="K272" s="11"/>
      <c r="L272" s="15"/>
      <c r="M272" s="15"/>
      <c r="N272" s="15"/>
      <c r="O272" s="15"/>
      <c r="P272" s="15"/>
      <c r="Q272" s="11"/>
      <c r="R272" s="11"/>
      <c r="S272" s="11"/>
      <c r="T272" s="11"/>
      <c r="U272" s="15"/>
      <c r="V272" s="11"/>
      <c r="W272" s="11"/>
      <c r="X272" s="11"/>
      <c r="Y272" s="11"/>
      <c r="Z272" s="11"/>
    </row>
    <row r="273">
      <c r="A273" s="18"/>
      <c r="B273" s="11"/>
      <c r="C273" s="11"/>
      <c r="D273" s="11"/>
      <c r="E273" s="11"/>
      <c r="F273" s="11"/>
      <c r="G273" s="11"/>
      <c r="H273" s="11"/>
      <c r="I273" s="11"/>
      <c r="J273" s="11"/>
      <c r="K273" s="11"/>
      <c r="L273" s="15"/>
      <c r="M273" s="15"/>
      <c r="N273" s="15"/>
      <c r="O273" s="15"/>
      <c r="P273" s="15"/>
      <c r="Q273" s="11"/>
      <c r="R273" s="11"/>
      <c r="S273" s="11"/>
      <c r="T273" s="11"/>
      <c r="U273" s="15"/>
      <c r="V273" s="11"/>
      <c r="W273" s="11"/>
      <c r="X273" s="11"/>
      <c r="Y273" s="11"/>
      <c r="Z273" s="11"/>
    </row>
    <row r="274">
      <c r="A274" s="18"/>
      <c r="B274" s="11"/>
      <c r="C274" s="11"/>
      <c r="D274" s="11"/>
      <c r="E274" s="11"/>
      <c r="F274" s="11"/>
      <c r="G274" s="11"/>
      <c r="H274" s="11"/>
      <c r="I274" s="11"/>
      <c r="J274" s="11"/>
      <c r="K274" s="11"/>
      <c r="L274" s="15"/>
      <c r="M274" s="15"/>
      <c r="N274" s="15"/>
      <c r="O274" s="15"/>
      <c r="P274" s="15"/>
      <c r="Q274" s="11"/>
      <c r="R274" s="11"/>
      <c r="S274" s="11"/>
      <c r="T274" s="11"/>
      <c r="U274" s="15"/>
      <c r="V274" s="11"/>
      <c r="W274" s="11"/>
      <c r="X274" s="11"/>
      <c r="Y274" s="11"/>
      <c r="Z274" s="11"/>
    </row>
    <row r="275">
      <c r="A275" s="18"/>
      <c r="B275" s="11"/>
      <c r="C275" s="11"/>
      <c r="D275" s="11"/>
      <c r="E275" s="11"/>
      <c r="F275" s="11"/>
      <c r="G275" s="11"/>
      <c r="H275" s="11"/>
      <c r="I275" s="11"/>
      <c r="J275" s="11"/>
      <c r="K275" s="11"/>
      <c r="L275" s="15"/>
      <c r="M275" s="15"/>
      <c r="N275" s="15"/>
      <c r="O275" s="15"/>
      <c r="P275" s="15"/>
      <c r="Q275" s="11"/>
      <c r="R275" s="11"/>
      <c r="S275" s="11"/>
      <c r="T275" s="11"/>
      <c r="U275" s="15"/>
      <c r="V275" s="11"/>
      <c r="W275" s="11"/>
      <c r="X275" s="11"/>
      <c r="Y275" s="11"/>
      <c r="Z275" s="11"/>
    </row>
    <row r="276">
      <c r="A276" s="18"/>
      <c r="B276" s="11"/>
      <c r="C276" s="11"/>
      <c r="D276" s="11"/>
      <c r="E276" s="11"/>
      <c r="F276" s="11"/>
      <c r="G276" s="11"/>
      <c r="H276" s="11"/>
      <c r="I276" s="11"/>
      <c r="J276" s="11"/>
      <c r="K276" s="11"/>
      <c r="L276" s="15"/>
      <c r="M276" s="15"/>
      <c r="N276" s="15"/>
      <c r="O276" s="15"/>
      <c r="P276" s="15"/>
      <c r="Q276" s="11"/>
      <c r="R276" s="11"/>
      <c r="S276" s="11"/>
      <c r="T276" s="11"/>
      <c r="U276" s="15"/>
      <c r="V276" s="11"/>
      <c r="W276" s="11"/>
      <c r="X276" s="11"/>
      <c r="Y276" s="11"/>
      <c r="Z276" s="11"/>
    </row>
    <row r="277">
      <c r="A277" s="18"/>
      <c r="B277" s="11"/>
      <c r="C277" s="11"/>
      <c r="D277" s="11"/>
      <c r="E277" s="11"/>
      <c r="F277" s="11"/>
      <c r="G277" s="11"/>
      <c r="H277" s="11"/>
      <c r="I277" s="11"/>
      <c r="J277" s="11"/>
      <c r="K277" s="11"/>
      <c r="L277" s="15"/>
      <c r="M277" s="15"/>
      <c r="N277" s="15"/>
      <c r="O277" s="15"/>
      <c r="P277" s="15"/>
      <c r="Q277" s="11"/>
      <c r="R277" s="11"/>
      <c r="S277" s="11"/>
      <c r="T277" s="11"/>
      <c r="U277" s="15"/>
      <c r="V277" s="11"/>
      <c r="W277" s="11"/>
      <c r="X277" s="11"/>
      <c r="Y277" s="11"/>
      <c r="Z277" s="11"/>
    </row>
    <row r="278">
      <c r="A278" s="18"/>
      <c r="B278" s="11"/>
      <c r="C278" s="11"/>
      <c r="D278" s="11"/>
      <c r="E278" s="11"/>
      <c r="F278" s="11"/>
      <c r="G278" s="11"/>
      <c r="H278" s="11"/>
      <c r="I278" s="11"/>
      <c r="J278" s="11"/>
      <c r="K278" s="11"/>
      <c r="L278" s="15"/>
      <c r="M278" s="15"/>
      <c r="N278" s="15"/>
      <c r="O278" s="15"/>
      <c r="P278" s="15"/>
      <c r="Q278" s="11"/>
      <c r="R278" s="11"/>
      <c r="S278" s="11"/>
      <c r="T278" s="11"/>
      <c r="U278" s="15"/>
      <c r="V278" s="11"/>
      <c r="W278" s="11"/>
      <c r="X278" s="11"/>
      <c r="Y278" s="11"/>
      <c r="Z278" s="11"/>
    </row>
    <row r="279">
      <c r="A279" s="18"/>
      <c r="B279" s="11"/>
      <c r="C279" s="11"/>
      <c r="D279" s="11"/>
      <c r="E279" s="11"/>
      <c r="F279" s="11"/>
      <c r="G279" s="11"/>
      <c r="H279" s="11"/>
      <c r="I279" s="11"/>
      <c r="J279" s="11"/>
      <c r="K279" s="11"/>
      <c r="L279" s="15"/>
      <c r="M279" s="15"/>
      <c r="N279" s="15"/>
      <c r="O279" s="15"/>
      <c r="P279" s="15"/>
      <c r="Q279" s="11"/>
      <c r="R279" s="11"/>
      <c r="S279" s="11"/>
      <c r="T279" s="11"/>
      <c r="U279" s="15"/>
      <c r="V279" s="11"/>
      <c r="W279" s="11"/>
      <c r="X279" s="11"/>
      <c r="Y279" s="11"/>
      <c r="Z279" s="11"/>
    </row>
    <row r="280">
      <c r="A280" s="18"/>
      <c r="B280" s="11"/>
      <c r="C280" s="11"/>
      <c r="D280" s="11"/>
      <c r="E280" s="11"/>
      <c r="F280" s="11"/>
      <c r="G280" s="11"/>
      <c r="H280" s="11"/>
      <c r="I280" s="11"/>
      <c r="J280" s="11"/>
      <c r="K280" s="11"/>
      <c r="L280" s="15"/>
      <c r="M280" s="15"/>
      <c r="N280" s="15"/>
      <c r="O280" s="15"/>
      <c r="P280" s="15"/>
      <c r="Q280" s="11"/>
      <c r="R280" s="11"/>
      <c r="S280" s="11"/>
      <c r="T280" s="11"/>
      <c r="U280" s="15"/>
      <c r="V280" s="11"/>
      <c r="W280" s="11"/>
      <c r="X280" s="11"/>
      <c r="Y280" s="11"/>
      <c r="Z280" s="11"/>
    </row>
    <row r="281">
      <c r="A281" s="18"/>
      <c r="B281" s="11"/>
      <c r="C281" s="11"/>
      <c r="D281" s="11"/>
      <c r="E281" s="11"/>
      <c r="F281" s="11"/>
      <c r="G281" s="11"/>
      <c r="H281" s="11"/>
      <c r="I281" s="11"/>
      <c r="J281" s="11"/>
      <c r="K281" s="11"/>
      <c r="L281" s="15"/>
      <c r="M281" s="15"/>
      <c r="N281" s="15"/>
      <c r="O281" s="15"/>
      <c r="P281" s="15"/>
      <c r="Q281" s="11"/>
      <c r="R281" s="11"/>
      <c r="S281" s="11"/>
      <c r="T281" s="11"/>
      <c r="U281" s="15"/>
      <c r="V281" s="11"/>
      <c r="W281" s="11"/>
      <c r="X281" s="11"/>
      <c r="Y281" s="11"/>
      <c r="Z281" s="11"/>
    </row>
    <row r="282">
      <c r="A282" s="18"/>
      <c r="B282" s="11"/>
      <c r="C282" s="11"/>
      <c r="D282" s="11"/>
      <c r="E282" s="11"/>
      <c r="F282" s="11"/>
      <c r="G282" s="11"/>
      <c r="H282" s="11"/>
      <c r="I282" s="11"/>
      <c r="J282" s="11"/>
      <c r="K282" s="11"/>
      <c r="L282" s="15"/>
      <c r="M282" s="15"/>
      <c r="N282" s="15"/>
      <c r="O282" s="15"/>
      <c r="P282" s="15"/>
      <c r="Q282" s="11"/>
      <c r="R282" s="11"/>
      <c r="S282" s="11"/>
      <c r="T282" s="11"/>
      <c r="U282" s="15"/>
      <c r="V282" s="11"/>
      <c r="W282" s="11"/>
      <c r="X282" s="11"/>
      <c r="Y282" s="11"/>
      <c r="Z282" s="11"/>
    </row>
    <row r="283">
      <c r="A283" s="18"/>
      <c r="B283" s="11"/>
      <c r="C283" s="11"/>
      <c r="D283" s="11"/>
      <c r="E283" s="11"/>
      <c r="F283" s="11"/>
      <c r="G283" s="11"/>
      <c r="H283" s="11"/>
      <c r="I283" s="11"/>
      <c r="J283" s="11"/>
      <c r="K283" s="11"/>
      <c r="L283" s="15"/>
      <c r="M283" s="15"/>
      <c r="N283" s="15"/>
      <c r="O283" s="15"/>
      <c r="P283" s="15"/>
      <c r="Q283" s="11"/>
      <c r="R283" s="11"/>
      <c r="S283" s="11"/>
      <c r="T283" s="11"/>
      <c r="U283" s="15"/>
      <c r="V283" s="11"/>
      <c r="W283" s="11"/>
      <c r="X283" s="11"/>
      <c r="Y283" s="11"/>
      <c r="Z283" s="11"/>
    </row>
    <row r="284">
      <c r="A284" s="18"/>
      <c r="B284" s="11"/>
      <c r="C284" s="11"/>
      <c r="D284" s="11"/>
      <c r="E284" s="11"/>
      <c r="F284" s="11"/>
      <c r="G284" s="11"/>
      <c r="H284" s="11"/>
      <c r="I284" s="11"/>
      <c r="J284" s="11"/>
      <c r="K284" s="11"/>
      <c r="L284" s="15"/>
      <c r="M284" s="15"/>
      <c r="N284" s="15"/>
      <c r="O284" s="15"/>
      <c r="P284" s="15"/>
      <c r="Q284" s="11"/>
      <c r="R284" s="11"/>
      <c r="S284" s="11"/>
      <c r="T284" s="11"/>
      <c r="U284" s="15"/>
      <c r="V284" s="11"/>
      <c r="W284" s="11"/>
      <c r="X284" s="11"/>
      <c r="Y284" s="11"/>
      <c r="Z284" s="11"/>
    </row>
    <row r="285">
      <c r="A285" s="18"/>
      <c r="B285" s="11"/>
      <c r="C285" s="11"/>
      <c r="D285" s="11"/>
      <c r="E285" s="11"/>
      <c r="F285" s="11"/>
      <c r="G285" s="11"/>
      <c r="H285" s="11"/>
      <c r="I285" s="11"/>
      <c r="J285" s="11"/>
      <c r="K285" s="11"/>
      <c r="L285" s="15"/>
      <c r="M285" s="15"/>
      <c r="N285" s="15"/>
      <c r="O285" s="15"/>
      <c r="P285" s="15"/>
      <c r="Q285" s="11"/>
      <c r="R285" s="11"/>
      <c r="S285" s="11"/>
      <c r="T285" s="11"/>
      <c r="U285" s="15"/>
      <c r="V285" s="11"/>
      <c r="W285" s="11"/>
      <c r="X285" s="11"/>
      <c r="Y285" s="11"/>
      <c r="Z285" s="11"/>
    </row>
    <row r="286">
      <c r="A286" s="18"/>
      <c r="B286" s="11"/>
      <c r="C286" s="11"/>
      <c r="D286" s="11"/>
      <c r="E286" s="11"/>
      <c r="F286" s="11"/>
      <c r="G286" s="11"/>
      <c r="H286" s="11"/>
      <c r="I286" s="11"/>
      <c r="J286" s="11"/>
      <c r="K286" s="11"/>
      <c r="L286" s="15"/>
      <c r="M286" s="15"/>
      <c r="N286" s="15"/>
      <c r="O286" s="15"/>
      <c r="P286" s="15"/>
      <c r="Q286" s="11"/>
      <c r="R286" s="11"/>
      <c r="S286" s="11"/>
      <c r="T286" s="11"/>
      <c r="U286" s="15"/>
      <c r="V286" s="11"/>
      <c r="W286" s="11"/>
      <c r="X286" s="11"/>
      <c r="Y286" s="11"/>
      <c r="Z286" s="11"/>
    </row>
    <row r="287">
      <c r="A287" s="18"/>
      <c r="B287" s="11"/>
      <c r="C287" s="11"/>
      <c r="D287" s="11"/>
      <c r="E287" s="11"/>
      <c r="F287" s="11"/>
      <c r="G287" s="11"/>
      <c r="H287" s="11"/>
      <c r="I287" s="11"/>
      <c r="J287" s="11"/>
      <c r="K287" s="11"/>
      <c r="L287" s="15"/>
      <c r="M287" s="15"/>
      <c r="N287" s="15"/>
      <c r="O287" s="15"/>
      <c r="P287" s="15"/>
      <c r="Q287" s="11"/>
      <c r="R287" s="11"/>
      <c r="S287" s="11"/>
      <c r="T287" s="11"/>
      <c r="U287" s="15"/>
      <c r="V287" s="11"/>
      <c r="W287" s="11"/>
      <c r="X287" s="11"/>
      <c r="Y287" s="11"/>
      <c r="Z287" s="11"/>
    </row>
    <row r="288">
      <c r="A288" s="18"/>
      <c r="B288" s="11"/>
      <c r="C288" s="11"/>
      <c r="D288" s="11"/>
      <c r="E288" s="11"/>
      <c r="F288" s="11"/>
      <c r="G288" s="11"/>
      <c r="H288" s="11"/>
      <c r="I288" s="11"/>
      <c r="J288" s="11"/>
      <c r="K288" s="11"/>
      <c r="L288" s="15"/>
      <c r="M288" s="15"/>
      <c r="N288" s="15"/>
      <c r="O288" s="15"/>
      <c r="P288" s="15"/>
      <c r="Q288" s="11"/>
      <c r="R288" s="11"/>
      <c r="S288" s="11"/>
      <c r="T288" s="11"/>
      <c r="U288" s="15"/>
      <c r="V288" s="11"/>
      <c r="W288" s="11"/>
      <c r="X288" s="11"/>
      <c r="Y288" s="11"/>
      <c r="Z288" s="11"/>
    </row>
    <row r="289">
      <c r="A289" s="18"/>
      <c r="B289" s="11"/>
      <c r="C289" s="11"/>
      <c r="D289" s="11"/>
      <c r="E289" s="11"/>
      <c r="F289" s="11"/>
      <c r="G289" s="11"/>
      <c r="H289" s="11"/>
      <c r="I289" s="11"/>
      <c r="J289" s="11"/>
      <c r="K289" s="11"/>
      <c r="L289" s="15"/>
      <c r="M289" s="15"/>
      <c r="N289" s="15"/>
      <c r="O289" s="15"/>
      <c r="P289" s="15"/>
      <c r="Q289" s="11"/>
      <c r="R289" s="11"/>
      <c r="S289" s="11"/>
      <c r="T289" s="11"/>
      <c r="U289" s="15"/>
      <c r="V289" s="11"/>
      <c r="W289" s="11"/>
      <c r="X289" s="11"/>
      <c r="Y289" s="11"/>
      <c r="Z289" s="11"/>
    </row>
    <row r="290">
      <c r="A290" s="18"/>
      <c r="B290" s="11"/>
      <c r="C290" s="11"/>
      <c r="D290" s="11"/>
      <c r="E290" s="11"/>
      <c r="F290" s="11"/>
      <c r="G290" s="11"/>
      <c r="H290" s="11"/>
      <c r="I290" s="11"/>
      <c r="J290" s="11"/>
      <c r="K290" s="11"/>
      <c r="L290" s="15"/>
      <c r="M290" s="15"/>
      <c r="N290" s="15"/>
      <c r="O290" s="15"/>
      <c r="P290" s="15"/>
      <c r="Q290" s="11"/>
      <c r="R290" s="11"/>
      <c r="S290" s="11"/>
      <c r="T290" s="11"/>
      <c r="U290" s="15"/>
      <c r="V290" s="11"/>
      <c r="W290" s="11"/>
      <c r="X290" s="11"/>
      <c r="Y290" s="11"/>
      <c r="Z290" s="11"/>
    </row>
    <row r="291">
      <c r="A291" s="18"/>
      <c r="B291" s="11"/>
      <c r="C291" s="11"/>
      <c r="D291" s="11"/>
      <c r="E291" s="11"/>
      <c r="F291" s="11"/>
      <c r="G291" s="11"/>
      <c r="H291" s="11"/>
      <c r="I291" s="11"/>
      <c r="J291" s="11"/>
      <c r="K291" s="11"/>
      <c r="L291" s="15"/>
      <c r="M291" s="15"/>
      <c r="N291" s="15"/>
      <c r="O291" s="15"/>
      <c r="P291" s="15"/>
      <c r="Q291" s="11"/>
      <c r="R291" s="11"/>
      <c r="S291" s="11"/>
      <c r="T291" s="11"/>
      <c r="U291" s="15"/>
      <c r="V291" s="11"/>
      <c r="W291" s="11"/>
      <c r="X291" s="11"/>
      <c r="Y291" s="11"/>
      <c r="Z291" s="11"/>
    </row>
    <row r="292">
      <c r="A292" s="18"/>
      <c r="B292" s="11"/>
      <c r="C292" s="11"/>
      <c r="D292" s="11"/>
      <c r="E292" s="11"/>
      <c r="F292" s="11"/>
      <c r="G292" s="11"/>
      <c r="H292" s="11"/>
      <c r="I292" s="11"/>
      <c r="J292" s="11"/>
      <c r="K292" s="11"/>
      <c r="L292" s="15"/>
      <c r="M292" s="15"/>
      <c r="N292" s="15"/>
      <c r="O292" s="15"/>
      <c r="P292" s="15"/>
      <c r="Q292" s="11"/>
      <c r="R292" s="11"/>
      <c r="S292" s="11"/>
      <c r="T292" s="11"/>
      <c r="U292" s="15"/>
      <c r="V292" s="11"/>
      <c r="W292" s="11"/>
      <c r="X292" s="11"/>
      <c r="Y292" s="11"/>
      <c r="Z292" s="11"/>
    </row>
    <row r="293">
      <c r="A293" s="18"/>
      <c r="B293" s="11"/>
      <c r="C293" s="11"/>
      <c r="D293" s="11"/>
      <c r="E293" s="11"/>
      <c r="F293" s="11"/>
      <c r="G293" s="11"/>
      <c r="H293" s="11"/>
      <c r="I293" s="11"/>
      <c r="J293" s="11"/>
      <c r="K293" s="11"/>
      <c r="L293" s="15"/>
      <c r="M293" s="15"/>
      <c r="N293" s="15"/>
      <c r="O293" s="15"/>
      <c r="P293" s="15"/>
      <c r="Q293" s="11"/>
      <c r="R293" s="11"/>
      <c r="S293" s="11"/>
      <c r="T293" s="11"/>
      <c r="U293" s="15"/>
      <c r="V293" s="11"/>
      <c r="W293" s="11"/>
      <c r="X293" s="11"/>
      <c r="Y293" s="11"/>
      <c r="Z293" s="11"/>
    </row>
    <row r="294">
      <c r="A294" s="18"/>
      <c r="B294" s="11"/>
      <c r="C294" s="11"/>
      <c r="D294" s="11"/>
      <c r="E294" s="11"/>
      <c r="F294" s="11"/>
      <c r="G294" s="11"/>
      <c r="H294" s="11"/>
      <c r="I294" s="11"/>
      <c r="J294" s="11"/>
      <c r="K294" s="11"/>
      <c r="L294" s="15"/>
      <c r="M294" s="15"/>
      <c r="N294" s="15"/>
      <c r="O294" s="15"/>
      <c r="P294" s="15"/>
      <c r="Q294" s="11"/>
      <c r="R294" s="11"/>
      <c r="S294" s="11"/>
      <c r="T294" s="11"/>
      <c r="U294" s="15"/>
      <c r="V294" s="11"/>
      <c r="W294" s="11"/>
      <c r="X294" s="11"/>
      <c r="Y294" s="11"/>
      <c r="Z294" s="11"/>
    </row>
    <row r="295">
      <c r="A295" s="18"/>
      <c r="B295" s="11"/>
      <c r="C295" s="11"/>
      <c r="D295" s="11"/>
      <c r="E295" s="11"/>
      <c r="F295" s="11"/>
      <c r="G295" s="11"/>
      <c r="H295" s="11"/>
      <c r="I295" s="11"/>
      <c r="J295" s="11"/>
      <c r="K295" s="11"/>
      <c r="L295" s="15"/>
      <c r="M295" s="15"/>
      <c r="N295" s="15"/>
      <c r="O295" s="15"/>
      <c r="P295" s="15"/>
      <c r="Q295" s="11"/>
      <c r="R295" s="11"/>
      <c r="S295" s="11"/>
      <c r="T295" s="11"/>
      <c r="U295" s="15"/>
      <c r="V295" s="11"/>
      <c r="W295" s="11"/>
      <c r="X295" s="11"/>
      <c r="Y295" s="11"/>
      <c r="Z295" s="11"/>
    </row>
    <row r="296">
      <c r="A296" s="18"/>
      <c r="B296" s="11"/>
      <c r="C296" s="11"/>
      <c r="D296" s="11"/>
      <c r="E296" s="11"/>
      <c r="F296" s="11"/>
      <c r="G296" s="11"/>
      <c r="H296" s="11"/>
      <c r="I296" s="11"/>
      <c r="J296" s="11"/>
      <c r="K296" s="11"/>
      <c r="L296" s="15"/>
      <c r="M296" s="15"/>
      <c r="N296" s="15"/>
      <c r="O296" s="15"/>
      <c r="P296" s="15"/>
      <c r="Q296" s="11"/>
      <c r="R296" s="11"/>
      <c r="S296" s="11"/>
      <c r="T296" s="11"/>
      <c r="U296" s="15"/>
      <c r="V296" s="11"/>
      <c r="W296" s="11"/>
      <c r="X296" s="11"/>
      <c r="Y296" s="11"/>
      <c r="Z296" s="11"/>
    </row>
    <row r="297">
      <c r="A297" s="18"/>
      <c r="B297" s="11"/>
      <c r="C297" s="11"/>
      <c r="D297" s="11"/>
      <c r="E297" s="11"/>
      <c r="F297" s="11"/>
      <c r="G297" s="11"/>
      <c r="H297" s="11"/>
      <c r="I297" s="11"/>
      <c r="J297" s="11"/>
      <c r="K297" s="11"/>
      <c r="L297" s="15"/>
      <c r="M297" s="15"/>
      <c r="N297" s="15"/>
      <c r="O297" s="15"/>
      <c r="P297" s="15"/>
      <c r="Q297" s="11"/>
      <c r="R297" s="11"/>
      <c r="S297" s="11"/>
      <c r="T297" s="11"/>
      <c r="U297" s="15"/>
      <c r="V297" s="11"/>
      <c r="W297" s="11"/>
      <c r="X297" s="11"/>
      <c r="Y297" s="11"/>
      <c r="Z297" s="11"/>
    </row>
    <row r="298">
      <c r="A298" s="18"/>
      <c r="B298" s="11"/>
      <c r="C298" s="11"/>
      <c r="D298" s="11"/>
      <c r="E298" s="11"/>
      <c r="F298" s="11"/>
      <c r="G298" s="11"/>
      <c r="H298" s="11"/>
      <c r="I298" s="11"/>
      <c r="J298" s="11"/>
      <c r="K298" s="11"/>
      <c r="L298" s="15"/>
      <c r="M298" s="15"/>
      <c r="N298" s="15"/>
      <c r="O298" s="15"/>
      <c r="P298" s="15"/>
      <c r="Q298" s="11"/>
      <c r="R298" s="11"/>
      <c r="S298" s="11"/>
      <c r="T298" s="11"/>
      <c r="U298" s="15"/>
      <c r="V298" s="11"/>
      <c r="W298" s="11"/>
      <c r="X298" s="11"/>
      <c r="Y298" s="11"/>
      <c r="Z298" s="11"/>
    </row>
    <row r="299">
      <c r="A299" s="18"/>
      <c r="B299" s="11"/>
      <c r="C299" s="11"/>
      <c r="D299" s="11"/>
      <c r="E299" s="11"/>
      <c r="F299" s="11"/>
      <c r="G299" s="11"/>
      <c r="H299" s="11"/>
      <c r="I299" s="11"/>
      <c r="J299" s="11"/>
      <c r="K299" s="11"/>
      <c r="L299" s="15"/>
      <c r="M299" s="15"/>
      <c r="N299" s="15"/>
      <c r="O299" s="15"/>
      <c r="P299" s="15"/>
      <c r="Q299" s="11"/>
      <c r="R299" s="11"/>
      <c r="S299" s="11"/>
      <c r="T299" s="11"/>
      <c r="U299" s="15"/>
      <c r="V299" s="11"/>
      <c r="W299" s="11"/>
      <c r="X299" s="11"/>
      <c r="Y299" s="11"/>
      <c r="Z299" s="11"/>
    </row>
    <row r="300">
      <c r="A300" s="18"/>
      <c r="B300" s="11"/>
      <c r="C300" s="11"/>
      <c r="D300" s="11"/>
      <c r="E300" s="11"/>
      <c r="F300" s="11"/>
      <c r="G300" s="11"/>
      <c r="H300" s="11"/>
      <c r="I300" s="11"/>
      <c r="J300" s="11"/>
      <c r="K300" s="11"/>
      <c r="L300" s="15"/>
      <c r="M300" s="15"/>
      <c r="N300" s="15"/>
      <c r="O300" s="15"/>
      <c r="P300" s="15"/>
      <c r="Q300" s="11"/>
      <c r="R300" s="11"/>
      <c r="S300" s="11"/>
      <c r="T300" s="11"/>
      <c r="U300" s="15"/>
      <c r="V300" s="11"/>
      <c r="W300" s="11"/>
      <c r="X300" s="11"/>
      <c r="Y300" s="11"/>
      <c r="Z300" s="11"/>
    </row>
    <row r="301">
      <c r="A301" s="18"/>
      <c r="B301" s="11"/>
      <c r="C301" s="11"/>
      <c r="D301" s="11"/>
      <c r="E301" s="11"/>
      <c r="F301" s="11"/>
      <c r="G301" s="11"/>
      <c r="H301" s="11"/>
      <c r="I301" s="11"/>
      <c r="J301" s="11"/>
      <c r="K301" s="11"/>
      <c r="L301" s="15"/>
      <c r="M301" s="15"/>
      <c r="N301" s="15"/>
      <c r="O301" s="15"/>
      <c r="P301" s="15"/>
      <c r="Q301" s="11"/>
      <c r="R301" s="11"/>
      <c r="S301" s="11"/>
      <c r="T301" s="11"/>
      <c r="U301" s="15"/>
      <c r="V301" s="11"/>
      <c r="W301" s="11"/>
      <c r="X301" s="11"/>
      <c r="Y301" s="11"/>
      <c r="Z301" s="11"/>
    </row>
    <row r="302">
      <c r="A302" s="18"/>
      <c r="B302" s="11"/>
      <c r="C302" s="11"/>
      <c r="D302" s="11"/>
      <c r="E302" s="11"/>
      <c r="F302" s="11"/>
      <c r="G302" s="11"/>
      <c r="H302" s="11"/>
      <c r="I302" s="11"/>
      <c r="J302" s="11"/>
      <c r="K302" s="11"/>
      <c r="L302" s="15"/>
      <c r="M302" s="15"/>
      <c r="N302" s="15"/>
      <c r="O302" s="15"/>
      <c r="P302" s="15"/>
      <c r="Q302" s="11"/>
      <c r="R302" s="11"/>
      <c r="S302" s="11"/>
      <c r="T302" s="11"/>
      <c r="U302" s="15"/>
      <c r="V302" s="11"/>
      <c r="W302" s="11"/>
      <c r="X302" s="11"/>
      <c r="Y302" s="11"/>
      <c r="Z302" s="11"/>
    </row>
    <row r="303">
      <c r="A303" s="18"/>
      <c r="B303" s="11"/>
      <c r="C303" s="11"/>
      <c r="D303" s="11"/>
      <c r="E303" s="11"/>
      <c r="F303" s="11"/>
      <c r="G303" s="11"/>
      <c r="H303" s="11"/>
      <c r="I303" s="11"/>
      <c r="J303" s="11"/>
      <c r="K303" s="11"/>
      <c r="L303" s="15"/>
      <c r="M303" s="15"/>
      <c r="N303" s="15"/>
      <c r="O303" s="15"/>
      <c r="P303" s="15"/>
      <c r="Q303" s="11"/>
      <c r="R303" s="11"/>
      <c r="S303" s="11"/>
      <c r="T303" s="11"/>
      <c r="U303" s="15"/>
      <c r="V303" s="11"/>
      <c r="W303" s="11"/>
      <c r="X303" s="11"/>
      <c r="Y303" s="11"/>
      <c r="Z303" s="11"/>
    </row>
    <row r="304">
      <c r="A304" s="18"/>
      <c r="B304" s="11"/>
      <c r="C304" s="11"/>
      <c r="D304" s="11"/>
      <c r="E304" s="11"/>
      <c r="F304" s="11"/>
      <c r="G304" s="11"/>
      <c r="H304" s="11"/>
      <c r="I304" s="11"/>
      <c r="J304" s="11"/>
      <c r="K304" s="11"/>
      <c r="L304" s="15"/>
      <c r="M304" s="15"/>
      <c r="N304" s="15"/>
      <c r="O304" s="15"/>
      <c r="P304" s="15"/>
      <c r="Q304" s="11"/>
      <c r="R304" s="11"/>
      <c r="S304" s="11"/>
      <c r="T304" s="11"/>
      <c r="U304" s="15"/>
      <c r="V304" s="11"/>
      <c r="W304" s="11"/>
      <c r="X304" s="11"/>
      <c r="Y304" s="11"/>
      <c r="Z304" s="11"/>
    </row>
    <row r="305">
      <c r="A305" s="18"/>
      <c r="B305" s="11"/>
      <c r="C305" s="11"/>
      <c r="D305" s="11"/>
      <c r="E305" s="11"/>
      <c r="F305" s="11"/>
      <c r="G305" s="11"/>
      <c r="H305" s="11"/>
      <c r="I305" s="11"/>
      <c r="J305" s="11"/>
      <c r="K305" s="11"/>
      <c r="L305" s="15"/>
      <c r="M305" s="15"/>
      <c r="N305" s="15"/>
      <c r="O305" s="15"/>
      <c r="P305" s="15"/>
      <c r="Q305" s="11"/>
      <c r="R305" s="11"/>
      <c r="S305" s="11"/>
      <c r="T305" s="11"/>
      <c r="U305" s="15"/>
      <c r="V305" s="11"/>
      <c r="W305" s="11"/>
      <c r="X305" s="11"/>
      <c r="Y305" s="11"/>
      <c r="Z305" s="11"/>
    </row>
    <row r="306">
      <c r="A306" s="18"/>
      <c r="B306" s="11"/>
      <c r="C306" s="11"/>
      <c r="D306" s="11"/>
      <c r="E306" s="11"/>
      <c r="F306" s="11"/>
      <c r="G306" s="11"/>
      <c r="H306" s="11"/>
      <c r="I306" s="11"/>
      <c r="J306" s="11"/>
      <c r="K306" s="11"/>
      <c r="L306" s="15"/>
      <c r="M306" s="15"/>
      <c r="N306" s="15"/>
      <c r="O306" s="15"/>
      <c r="P306" s="15"/>
      <c r="Q306" s="11"/>
      <c r="R306" s="11"/>
      <c r="S306" s="11"/>
      <c r="T306" s="11"/>
      <c r="U306" s="15"/>
      <c r="V306" s="11"/>
      <c r="W306" s="11"/>
      <c r="X306" s="11"/>
      <c r="Y306" s="11"/>
      <c r="Z306" s="11"/>
    </row>
    <row r="307">
      <c r="A307" s="18"/>
      <c r="B307" s="11"/>
      <c r="C307" s="11"/>
      <c r="D307" s="11"/>
      <c r="E307" s="11"/>
      <c r="F307" s="11"/>
      <c r="G307" s="11"/>
      <c r="H307" s="11"/>
      <c r="I307" s="11"/>
      <c r="J307" s="11"/>
      <c r="K307" s="11"/>
      <c r="L307" s="15"/>
      <c r="M307" s="15"/>
      <c r="N307" s="15"/>
      <c r="O307" s="15"/>
      <c r="P307" s="15"/>
      <c r="Q307" s="11"/>
      <c r="R307" s="11"/>
      <c r="S307" s="11"/>
      <c r="T307" s="11"/>
      <c r="U307" s="15"/>
      <c r="V307" s="11"/>
      <c r="W307" s="11"/>
      <c r="X307" s="11"/>
      <c r="Y307" s="11"/>
      <c r="Z307" s="11"/>
    </row>
    <row r="308">
      <c r="A308" s="18"/>
      <c r="B308" s="11"/>
      <c r="C308" s="11"/>
      <c r="D308" s="11"/>
      <c r="E308" s="11"/>
      <c r="F308" s="11"/>
      <c r="G308" s="11"/>
      <c r="H308" s="11"/>
      <c r="I308" s="11"/>
      <c r="J308" s="11"/>
      <c r="K308" s="11"/>
      <c r="L308" s="15"/>
      <c r="M308" s="15"/>
      <c r="N308" s="15"/>
      <c r="O308" s="15"/>
      <c r="P308" s="15"/>
      <c r="Q308" s="11"/>
      <c r="R308" s="11"/>
      <c r="S308" s="11"/>
      <c r="T308" s="11"/>
      <c r="U308" s="15"/>
      <c r="V308" s="11"/>
      <c r="W308" s="11"/>
      <c r="X308" s="11"/>
      <c r="Y308" s="11"/>
      <c r="Z308" s="11"/>
    </row>
    <row r="309">
      <c r="A309" s="18"/>
      <c r="B309" s="11"/>
      <c r="C309" s="11"/>
      <c r="D309" s="11"/>
      <c r="E309" s="11"/>
      <c r="F309" s="11"/>
      <c r="G309" s="11"/>
      <c r="H309" s="11"/>
      <c r="I309" s="11"/>
      <c r="J309" s="11"/>
      <c r="K309" s="11"/>
      <c r="L309" s="15"/>
      <c r="M309" s="15"/>
      <c r="N309" s="15"/>
      <c r="O309" s="15"/>
      <c r="P309" s="15"/>
      <c r="Q309" s="11"/>
      <c r="R309" s="11"/>
      <c r="S309" s="11"/>
      <c r="T309" s="11"/>
      <c r="U309" s="15"/>
      <c r="V309" s="11"/>
      <c r="W309" s="11"/>
      <c r="X309" s="11"/>
      <c r="Y309" s="11"/>
      <c r="Z309" s="11"/>
    </row>
    <row r="310">
      <c r="A310" s="18"/>
      <c r="B310" s="11"/>
      <c r="C310" s="11"/>
      <c r="D310" s="11"/>
      <c r="E310" s="11"/>
      <c r="F310" s="11"/>
      <c r="G310" s="11"/>
      <c r="H310" s="11"/>
      <c r="I310" s="11"/>
      <c r="J310" s="11"/>
      <c r="K310" s="11"/>
      <c r="L310" s="15"/>
      <c r="M310" s="15"/>
      <c r="N310" s="15"/>
      <c r="O310" s="15"/>
      <c r="P310" s="15"/>
      <c r="Q310" s="11"/>
      <c r="R310" s="11"/>
      <c r="S310" s="11"/>
      <c r="T310" s="11"/>
      <c r="U310" s="15"/>
      <c r="V310" s="11"/>
      <c r="W310" s="11"/>
      <c r="X310" s="11"/>
      <c r="Y310" s="11"/>
      <c r="Z310" s="11"/>
    </row>
    <row r="311">
      <c r="A311" s="18"/>
      <c r="B311" s="11"/>
      <c r="C311" s="11"/>
      <c r="D311" s="11"/>
      <c r="E311" s="11"/>
      <c r="F311" s="11"/>
      <c r="G311" s="11"/>
      <c r="H311" s="11"/>
      <c r="I311" s="11"/>
      <c r="J311" s="11"/>
      <c r="K311" s="11"/>
      <c r="L311" s="15"/>
      <c r="M311" s="15"/>
      <c r="N311" s="15"/>
      <c r="O311" s="15"/>
      <c r="P311" s="15"/>
      <c r="Q311" s="11"/>
      <c r="R311" s="11"/>
      <c r="S311" s="11"/>
      <c r="T311" s="11"/>
      <c r="U311" s="15"/>
      <c r="V311" s="11"/>
      <c r="W311" s="11"/>
      <c r="X311" s="11"/>
      <c r="Y311" s="11"/>
      <c r="Z311" s="11"/>
    </row>
    <row r="312">
      <c r="A312" s="18"/>
      <c r="B312" s="11"/>
      <c r="C312" s="11"/>
      <c r="D312" s="11"/>
      <c r="E312" s="11"/>
      <c r="F312" s="11"/>
      <c r="G312" s="11"/>
      <c r="H312" s="11"/>
      <c r="I312" s="11"/>
      <c r="J312" s="11"/>
      <c r="K312" s="11"/>
      <c r="L312" s="15"/>
      <c r="M312" s="15"/>
      <c r="N312" s="15"/>
      <c r="O312" s="15"/>
      <c r="P312" s="15"/>
      <c r="Q312" s="11"/>
      <c r="R312" s="11"/>
      <c r="S312" s="11"/>
      <c r="T312" s="11"/>
      <c r="U312" s="15"/>
      <c r="V312" s="11"/>
      <c r="W312" s="11"/>
      <c r="X312" s="11"/>
      <c r="Y312" s="11"/>
      <c r="Z312" s="11"/>
    </row>
    <row r="313">
      <c r="A313" s="18"/>
      <c r="B313" s="11"/>
      <c r="C313" s="11"/>
      <c r="D313" s="11"/>
      <c r="E313" s="11"/>
      <c r="F313" s="11"/>
      <c r="G313" s="11"/>
      <c r="H313" s="11"/>
      <c r="I313" s="11"/>
      <c r="J313" s="11"/>
      <c r="K313" s="11"/>
      <c r="L313" s="15"/>
      <c r="M313" s="15"/>
      <c r="N313" s="15"/>
      <c r="O313" s="15"/>
      <c r="P313" s="15"/>
      <c r="Q313" s="11"/>
      <c r="R313" s="11"/>
      <c r="S313" s="11"/>
      <c r="T313" s="11"/>
      <c r="U313" s="15"/>
      <c r="V313" s="11"/>
      <c r="W313" s="11"/>
      <c r="X313" s="11"/>
      <c r="Y313" s="11"/>
      <c r="Z313" s="11"/>
    </row>
    <row r="314">
      <c r="A314" s="18"/>
      <c r="B314" s="11"/>
      <c r="C314" s="11"/>
      <c r="D314" s="11"/>
      <c r="E314" s="11"/>
      <c r="F314" s="11"/>
      <c r="G314" s="11"/>
      <c r="H314" s="11"/>
      <c r="I314" s="11"/>
      <c r="J314" s="11"/>
      <c r="K314" s="11"/>
      <c r="L314" s="15"/>
      <c r="M314" s="15"/>
      <c r="N314" s="15"/>
      <c r="O314" s="15"/>
      <c r="P314" s="15"/>
      <c r="Q314" s="11"/>
      <c r="R314" s="11"/>
      <c r="S314" s="11"/>
      <c r="T314" s="11"/>
      <c r="U314" s="15"/>
      <c r="V314" s="11"/>
      <c r="W314" s="11"/>
      <c r="X314" s="11"/>
      <c r="Y314" s="11"/>
      <c r="Z314" s="11"/>
    </row>
    <row r="315">
      <c r="A315" s="18"/>
      <c r="B315" s="11"/>
      <c r="C315" s="11"/>
      <c r="D315" s="11"/>
      <c r="E315" s="11"/>
      <c r="F315" s="11"/>
      <c r="G315" s="11"/>
      <c r="H315" s="11"/>
      <c r="I315" s="11"/>
      <c r="J315" s="11"/>
      <c r="K315" s="11"/>
      <c r="L315" s="15"/>
      <c r="M315" s="15"/>
      <c r="N315" s="15"/>
      <c r="O315" s="15"/>
      <c r="P315" s="15"/>
      <c r="Q315" s="11"/>
      <c r="R315" s="11"/>
      <c r="S315" s="11"/>
      <c r="T315" s="11"/>
      <c r="U315" s="15"/>
      <c r="V315" s="11"/>
      <c r="W315" s="11"/>
      <c r="X315" s="11"/>
      <c r="Y315" s="11"/>
      <c r="Z315" s="11"/>
    </row>
    <row r="316">
      <c r="A316" s="18"/>
      <c r="B316" s="11"/>
      <c r="C316" s="11"/>
      <c r="D316" s="11"/>
      <c r="E316" s="11"/>
      <c r="F316" s="11"/>
      <c r="G316" s="11"/>
      <c r="H316" s="11"/>
      <c r="I316" s="11"/>
      <c r="J316" s="11"/>
      <c r="K316" s="11"/>
      <c r="L316" s="15"/>
      <c r="M316" s="15"/>
      <c r="N316" s="15"/>
      <c r="O316" s="15"/>
      <c r="P316" s="15"/>
      <c r="Q316" s="11"/>
      <c r="R316" s="11"/>
      <c r="S316" s="11"/>
      <c r="T316" s="11"/>
      <c r="U316" s="15"/>
      <c r="V316" s="11"/>
      <c r="W316" s="11"/>
      <c r="X316" s="11"/>
      <c r="Y316" s="11"/>
      <c r="Z316" s="11"/>
    </row>
    <row r="317">
      <c r="A317" s="18"/>
      <c r="B317" s="11"/>
      <c r="C317" s="11"/>
      <c r="D317" s="11"/>
      <c r="E317" s="11"/>
      <c r="F317" s="11"/>
      <c r="G317" s="11"/>
      <c r="H317" s="11"/>
      <c r="I317" s="11"/>
      <c r="J317" s="11"/>
      <c r="K317" s="11"/>
      <c r="L317" s="15"/>
      <c r="M317" s="15"/>
      <c r="N317" s="15"/>
      <c r="O317" s="15"/>
      <c r="P317" s="15"/>
      <c r="Q317" s="11"/>
      <c r="R317" s="11"/>
      <c r="S317" s="11"/>
      <c r="T317" s="11"/>
      <c r="U317" s="15"/>
      <c r="V317" s="11"/>
      <c r="W317" s="11"/>
      <c r="X317" s="11"/>
      <c r="Y317" s="11"/>
      <c r="Z317" s="11"/>
    </row>
    <row r="318">
      <c r="A318" s="18"/>
      <c r="B318" s="11"/>
      <c r="C318" s="11"/>
      <c r="D318" s="11"/>
      <c r="E318" s="11"/>
      <c r="F318" s="11"/>
      <c r="G318" s="11"/>
      <c r="H318" s="11"/>
      <c r="I318" s="11"/>
      <c r="J318" s="11"/>
      <c r="K318" s="11"/>
      <c r="L318" s="15"/>
      <c r="M318" s="15"/>
      <c r="N318" s="15"/>
      <c r="O318" s="15"/>
      <c r="P318" s="15"/>
      <c r="Q318" s="11"/>
      <c r="R318" s="11"/>
      <c r="S318" s="11"/>
      <c r="T318" s="11"/>
      <c r="U318" s="15"/>
      <c r="V318" s="11"/>
      <c r="W318" s="11"/>
      <c r="X318" s="11"/>
      <c r="Y318" s="11"/>
      <c r="Z318" s="11"/>
    </row>
    <row r="319">
      <c r="A319" s="18"/>
      <c r="B319" s="11"/>
      <c r="C319" s="11"/>
      <c r="D319" s="11"/>
      <c r="E319" s="11"/>
      <c r="F319" s="11"/>
      <c r="G319" s="11"/>
      <c r="H319" s="11"/>
      <c r="I319" s="11"/>
      <c r="J319" s="11"/>
      <c r="K319" s="11"/>
      <c r="L319" s="15"/>
      <c r="M319" s="15"/>
      <c r="N319" s="15"/>
      <c r="O319" s="15"/>
      <c r="P319" s="15"/>
      <c r="Q319" s="11"/>
      <c r="R319" s="11"/>
      <c r="S319" s="11"/>
      <c r="T319" s="11"/>
      <c r="U319" s="15"/>
      <c r="V319" s="11"/>
      <c r="W319" s="11"/>
      <c r="X319" s="11"/>
      <c r="Y319" s="11"/>
      <c r="Z319" s="11"/>
    </row>
    <row r="320">
      <c r="A320" s="18"/>
      <c r="B320" s="11"/>
      <c r="C320" s="11"/>
      <c r="D320" s="11"/>
      <c r="E320" s="11"/>
      <c r="F320" s="11"/>
      <c r="G320" s="11"/>
      <c r="H320" s="11"/>
      <c r="I320" s="11"/>
      <c r="J320" s="11"/>
      <c r="K320" s="11"/>
      <c r="L320" s="15"/>
      <c r="M320" s="15"/>
      <c r="N320" s="15"/>
      <c r="O320" s="15"/>
      <c r="P320" s="15"/>
      <c r="Q320" s="11"/>
      <c r="R320" s="11"/>
      <c r="S320" s="11"/>
      <c r="T320" s="11"/>
      <c r="U320" s="15"/>
      <c r="V320" s="11"/>
      <c r="W320" s="11"/>
      <c r="X320" s="11"/>
      <c r="Y320" s="11"/>
      <c r="Z320" s="11"/>
    </row>
    <row r="321">
      <c r="A321" s="18"/>
      <c r="B321" s="11"/>
      <c r="C321" s="11"/>
      <c r="D321" s="11"/>
      <c r="E321" s="11"/>
      <c r="F321" s="11"/>
      <c r="G321" s="11"/>
      <c r="H321" s="11"/>
      <c r="I321" s="11"/>
      <c r="J321" s="11"/>
      <c r="K321" s="11"/>
      <c r="L321" s="15"/>
      <c r="M321" s="15"/>
      <c r="N321" s="15"/>
      <c r="O321" s="15"/>
      <c r="P321" s="15"/>
      <c r="Q321" s="11"/>
      <c r="R321" s="11"/>
      <c r="S321" s="11"/>
      <c r="T321" s="11"/>
      <c r="U321" s="15"/>
      <c r="V321" s="11"/>
      <c r="W321" s="11"/>
      <c r="X321" s="11"/>
      <c r="Y321" s="11"/>
      <c r="Z321" s="11"/>
    </row>
    <row r="322">
      <c r="A322" s="18"/>
      <c r="B322" s="11"/>
      <c r="C322" s="11"/>
      <c r="D322" s="11"/>
      <c r="E322" s="11"/>
      <c r="F322" s="11"/>
      <c r="G322" s="11"/>
      <c r="H322" s="11"/>
      <c r="I322" s="11"/>
      <c r="J322" s="11"/>
      <c r="K322" s="11"/>
      <c r="L322" s="15"/>
      <c r="M322" s="15"/>
      <c r="N322" s="15"/>
      <c r="O322" s="15"/>
      <c r="P322" s="15"/>
      <c r="Q322" s="11"/>
      <c r="R322" s="11"/>
      <c r="S322" s="11"/>
      <c r="T322" s="11"/>
      <c r="U322" s="15"/>
      <c r="V322" s="11"/>
      <c r="W322" s="11"/>
      <c r="X322" s="11"/>
      <c r="Y322" s="11"/>
      <c r="Z322" s="11"/>
    </row>
    <row r="323">
      <c r="A323" s="18"/>
      <c r="B323" s="11"/>
      <c r="C323" s="11"/>
      <c r="D323" s="11"/>
      <c r="E323" s="11"/>
      <c r="F323" s="11"/>
      <c r="G323" s="11"/>
      <c r="H323" s="11"/>
      <c r="I323" s="11"/>
      <c r="J323" s="11"/>
      <c r="K323" s="11"/>
      <c r="L323" s="15"/>
      <c r="M323" s="15"/>
      <c r="N323" s="15"/>
      <c r="O323" s="15"/>
      <c r="P323" s="15"/>
      <c r="Q323" s="11"/>
      <c r="R323" s="11"/>
      <c r="S323" s="11"/>
      <c r="T323" s="11"/>
      <c r="U323" s="15"/>
      <c r="V323" s="11"/>
      <c r="W323" s="11"/>
      <c r="X323" s="11"/>
      <c r="Y323" s="11"/>
      <c r="Z323" s="11"/>
    </row>
    <row r="324">
      <c r="A324" s="18"/>
      <c r="B324" s="11"/>
      <c r="C324" s="11"/>
      <c r="D324" s="11"/>
      <c r="E324" s="11"/>
      <c r="F324" s="11"/>
      <c r="G324" s="11"/>
      <c r="H324" s="11"/>
      <c r="I324" s="11"/>
      <c r="J324" s="11"/>
      <c r="K324" s="11"/>
      <c r="L324" s="15"/>
      <c r="M324" s="15"/>
      <c r="N324" s="15"/>
      <c r="O324" s="15"/>
      <c r="P324" s="15"/>
      <c r="Q324" s="11"/>
      <c r="R324" s="11"/>
      <c r="S324" s="11"/>
      <c r="T324" s="11"/>
      <c r="U324" s="15"/>
      <c r="V324" s="11"/>
      <c r="W324" s="11"/>
      <c r="X324" s="11"/>
      <c r="Y324" s="11"/>
      <c r="Z324" s="11"/>
    </row>
    <row r="325">
      <c r="A325" s="18"/>
      <c r="B325" s="11"/>
      <c r="C325" s="11"/>
      <c r="D325" s="11"/>
      <c r="E325" s="11"/>
      <c r="F325" s="11"/>
      <c r="G325" s="11"/>
      <c r="H325" s="11"/>
      <c r="I325" s="11"/>
      <c r="J325" s="11"/>
      <c r="K325" s="11"/>
      <c r="L325" s="15"/>
      <c r="M325" s="15"/>
      <c r="N325" s="15"/>
      <c r="O325" s="15"/>
      <c r="P325" s="15"/>
      <c r="Q325" s="11"/>
      <c r="R325" s="11"/>
      <c r="S325" s="11"/>
      <c r="T325" s="11"/>
      <c r="U325" s="15"/>
      <c r="V325" s="11"/>
      <c r="W325" s="11"/>
      <c r="X325" s="11"/>
      <c r="Y325" s="11"/>
      <c r="Z325" s="11"/>
    </row>
    <row r="326">
      <c r="A326" s="18"/>
      <c r="B326" s="11"/>
      <c r="C326" s="11"/>
      <c r="D326" s="11"/>
      <c r="E326" s="11"/>
      <c r="F326" s="11"/>
      <c r="G326" s="11"/>
      <c r="H326" s="11"/>
      <c r="I326" s="11"/>
      <c r="J326" s="11"/>
      <c r="K326" s="11"/>
      <c r="L326" s="15"/>
      <c r="M326" s="15"/>
      <c r="N326" s="15"/>
      <c r="O326" s="15"/>
      <c r="P326" s="15"/>
      <c r="Q326" s="11"/>
      <c r="R326" s="11"/>
      <c r="S326" s="11"/>
      <c r="T326" s="11"/>
      <c r="U326" s="15"/>
      <c r="V326" s="11"/>
      <c r="W326" s="11"/>
      <c r="X326" s="11"/>
      <c r="Y326" s="11"/>
      <c r="Z326" s="11"/>
    </row>
    <row r="327">
      <c r="A327" s="18"/>
      <c r="B327" s="11"/>
      <c r="C327" s="11"/>
      <c r="D327" s="11"/>
      <c r="E327" s="11"/>
      <c r="F327" s="11"/>
      <c r="G327" s="11"/>
      <c r="H327" s="11"/>
      <c r="I327" s="11"/>
      <c r="J327" s="11"/>
      <c r="K327" s="11"/>
      <c r="L327" s="15"/>
      <c r="M327" s="15"/>
      <c r="N327" s="15"/>
      <c r="O327" s="15"/>
      <c r="P327" s="15"/>
      <c r="Q327" s="11"/>
      <c r="R327" s="11"/>
      <c r="S327" s="11"/>
      <c r="T327" s="11"/>
      <c r="U327" s="15"/>
      <c r="V327" s="11"/>
      <c r="W327" s="11"/>
      <c r="X327" s="11"/>
      <c r="Y327" s="11"/>
      <c r="Z327" s="11"/>
    </row>
    <row r="328">
      <c r="A328" s="18"/>
      <c r="B328" s="11"/>
      <c r="C328" s="11"/>
      <c r="D328" s="11"/>
      <c r="E328" s="11"/>
      <c r="F328" s="11"/>
      <c r="G328" s="11"/>
      <c r="H328" s="11"/>
      <c r="I328" s="11"/>
      <c r="J328" s="11"/>
      <c r="K328" s="11"/>
      <c r="L328" s="15"/>
      <c r="M328" s="15"/>
      <c r="N328" s="15"/>
      <c r="O328" s="15"/>
      <c r="P328" s="15"/>
      <c r="Q328" s="11"/>
      <c r="R328" s="11"/>
      <c r="S328" s="11"/>
      <c r="T328" s="11"/>
      <c r="U328" s="15"/>
      <c r="V328" s="11"/>
      <c r="W328" s="11"/>
      <c r="X328" s="11"/>
      <c r="Y328" s="11"/>
      <c r="Z328" s="11"/>
    </row>
    <row r="329">
      <c r="A329" s="18"/>
      <c r="B329" s="11"/>
      <c r="C329" s="11"/>
      <c r="D329" s="11"/>
      <c r="E329" s="11"/>
      <c r="F329" s="11"/>
      <c r="G329" s="11"/>
      <c r="H329" s="11"/>
      <c r="I329" s="11"/>
      <c r="J329" s="11"/>
      <c r="K329" s="11"/>
      <c r="L329" s="15"/>
      <c r="M329" s="15"/>
      <c r="N329" s="15"/>
      <c r="O329" s="15"/>
      <c r="P329" s="15"/>
      <c r="Q329" s="11"/>
      <c r="R329" s="11"/>
      <c r="S329" s="11"/>
      <c r="T329" s="11"/>
      <c r="U329" s="15"/>
      <c r="V329" s="11"/>
      <c r="W329" s="11"/>
      <c r="X329" s="11"/>
      <c r="Y329" s="11"/>
      <c r="Z329" s="11"/>
    </row>
    <row r="330">
      <c r="A330" s="18"/>
      <c r="B330" s="11"/>
      <c r="C330" s="11"/>
      <c r="D330" s="11"/>
      <c r="E330" s="11"/>
      <c r="F330" s="11"/>
      <c r="G330" s="11"/>
      <c r="H330" s="11"/>
      <c r="I330" s="11"/>
      <c r="J330" s="11"/>
      <c r="K330" s="11"/>
      <c r="L330" s="15"/>
      <c r="M330" s="15"/>
      <c r="N330" s="15"/>
      <c r="O330" s="15"/>
      <c r="P330" s="15"/>
      <c r="Q330" s="11"/>
      <c r="R330" s="11"/>
      <c r="S330" s="11"/>
      <c r="T330" s="11"/>
      <c r="U330" s="15"/>
      <c r="V330" s="11"/>
      <c r="W330" s="11"/>
      <c r="X330" s="11"/>
      <c r="Y330" s="11"/>
      <c r="Z330" s="11"/>
    </row>
    <row r="331">
      <c r="A331" s="18"/>
      <c r="B331" s="11"/>
      <c r="C331" s="11"/>
      <c r="D331" s="11"/>
      <c r="E331" s="11"/>
      <c r="F331" s="11"/>
      <c r="G331" s="11"/>
      <c r="H331" s="11"/>
      <c r="I331" s="11"/>
      <c r="J331" s="11"/>
      <c r="K331" s="11"/>
      <c r="L331" s="15"/>
      <c r="M331" s="15"/>
      <c r="N331" s="15"/>
      <c r="O331" s="15"/>
      <c r="P331" s="15"/>
      <c r="Q331" s="11"/>
      <c r="R331" s="11"/>
      <c r="S331" s="11"/>
      <c r="T331" s="11"/>
      <c r="U331" s="15"/>
      <c r="V331" s="11"/>
      <c r="W331" s="11"/>
      <c r="X331" s="11"/>
      <c r="Y331" s="11"/>
      <c r="Z331" s="11"/>
    </row>
    <row r="332">
      <c r="A332" s="18"/>
      <c r="B332" s="11"/>
      <c r="C332" s="11"/>
      <c r="D332" s="11"/>
      <c r="E332" s="11"/>
      <c r="F332" s="11"/>
      <c r="G332" s="11"/>
      <c r="H332" s="11"/>
      <c r="I332" s="11"/>
      <c r="J332" s="11"/>
      <c r="K332" s="11"/>
      <c r="L332" s="15"/>
      <c r="M332" s="15"/>
      <c r="N332" s="15"/>
      <c r="O332" s="15"/>
      <c r="P332" s="15"/>
      <c r="Q332" s="11"/>
      <c r="R332" s="11"/>
      <c r="S332" s="11"/>
      <c r="T332" s="11"/>
      <c r="U332" s="15"/>
      <c r="V332" s="11"/>
      <c r="W332" s="11"/>
      <c r="X332" s="11"/>
      <c r="Y332" s="11"/>
      <c r="Z332" s="11"/>
    </row>
    <row r="333">
      <c r="A333" s="18"/>
      <c r="B333" s="11"/>
      <c r="C333" s="11"/>
      <c r="D333" s="11"/>
      <c r="E333" s="11"/>
      <c r="F333" s="11"/>
      <c r="G333" s="11"/>
      <c r="H333" s="11"/>
      <c r="I333" s="11"/>
      <c r="J333" s="11"/>
      <c r="K333" s="11"/>
      <c r="L333" s="15"/>
      <c r="M333" s="15"/>
      <c r="N333" s="15"/>
      <c r="O333" s="15"/>
      <c r="P333" s="15"/>
      <c r="Q333" s="11"/>
      <c r="R333" s="11"/>
      <c r="S333" s="11"/>
      <c r="T333" s="11"/>
      <c r="U333" s="15"/>
      <c r="V333" s="11"/>
      <c r="W333" s="11"/>
      <c r="X333" s="11"/>
      <c r="Y333" s="11"/>
      <c r="Z333" s="11"/>
    </row>
    <row r="334">
      <c r="A334" s="18"/>
      <c r="B334" s="11"/>
      <c r="C334" s="11"/>
      <c r="D334" s="11"/>
      <c r="E334" s="11"/>
      <c r="F334" s="11"/>
      <c r="G334" s="11"/>
      <c r="H334" s="11"/>
      <c r="I334" s="11"/>
      <c r="J334" s="11"/>
      <c r="K334" s="11"/>
      <c r="L334" s="15"/>
      <c r="M334" s="15"/>
      <c r="N334" s="15"/>
      <c r="O334" s="15"/>
      <c r="P334" s="15"/>
      <c r="Q334" s="11"/>
      <c r="R334" s="11"/>
      <c r="S334" s="11"/>
      <c r="T334" s="11"/>
      <c r="U334" s="15"/>
      <c r="V334" s="11"/>
      <c r="W334" s="11"/>
      <c r="X334" s="11"/>
      <c r="Y334" s="11"/>
      <c r="Z334" s="11"/>
    </row>
    <row r="335">
      <c r="A335" s="18"/>
      <c r="B335" s="11"/>
      <c r="C335" s="11"/>
      <c r="D335" s="11"/>
      <c r="E335" s="11"/>
      <c r="F335" s="11"/>
      <c r="G335" s="11"/>
      <c r="H335" s="11"/>
      <c r="I335" s="11"/>
      <c r="J335" s="11"/>
      <c r="K335" s="11"/>
      <c r="L335" s="15"/>
      <c r="M335" s="15"/>
      <c r="N335" s="15"/>
      <c r="O335" s="15"/>
      <c r="P335" s="15"/>
      <c r="Q335" s="11"/>
      <c r="R335" s="11"/>
      <c r="S335" s="11"/>
      <c r="T335" s="11"/>
      <c r="U335" s="15"/>
      <c r="V335" s="11"/>
      <c r="W335" s="11"/>
      <c r="X335" s="11"/>
      <c r="Y335" s="11"/>
      <c r="Z335" s="11"/>
    </row>
    <row r="336">
      <c r="A336" s="18"/>
      <c r="B336" s="11"/>
      <c r="C336" s="11"/>
      <c r="D336" s="11"/>
      <c r="E336" s="11"/>
      <c r="F336" s="11"/>
      <c r="G336" s="11"/>
      <c r="H336" s="11"/>
      <c r="I336" s="11"/>
      <c r="J336" s="11"/>
      <c r="K336" s="11"/>
      <c r="L336" s="15"/>
      <c r="M336" s="15"/>
      <c r="N336" s="15"/>
      <c r="O336" s="15"/>
      <c r="P336" s="15"/>
      <c r="Q336" s="11"/>
      <c r="R336" s="11"/>
      <c r="S336" s="11"/>
      <c r="T336" s="11"/>
      <c r="U336" s="15"/>
      <c r="V336" s="11"/>
      <c r="W336" s="11"/>
      <c r="X336" s="11"/>
      <c r="Y336" s="11"/>
      <c r="Z336" s="11"/>
    </row>
    <row r="337">
      <c r="A337" s="18"/>
      <c r="B337" s="11"/>
      <c r="C337" s="11"/>
      <c r="D337" s="11"/>
      <c r="E337" s="11"/>
      <c r="F337" s="11"/>
      <c r="G337" s="11"/>
      <c r="H337" s="11"/>
      <c r="I337" s="11"/>
      <c r="J337" s="11"/>
      <c r="K337" s="11"/>
      <c r="L337" s="15"/>
      <c r="M337" s="15"/>
      <c r="N337" s="15"/>
      <c r="O337" s="15"/>
      <c r="P337" s="15"/>
      <c r="Q337" s="11"/>
      <c r="R337" s="11"/>
      <c r="S337" s="11"/>
      <c r="T337" s="11"/>
      <c r="U337" s="15"/>
      <c r="V337" s="11"/>
      <c r="W337" s="11"/>
      <c r="X337" s="11"/>
      <c r="Y337" s="11"/>
      <c r="Z337" s="11"/>
    </row>
    <row r="338">
      <c r="A338" s="18"/>
      <c r="B338" s="11"/>
      <c r="C338" s="11"/>
      <c r="D338" s="11"/>
      <c r="E338" s="11"/>
      <c r="F338" s="11"/>
      <c r="G338" s="11"/>
      <c r="H338" s="11"/>
      <c r="I338" s="11"/>
      <c r="J338" s="11"/>
      <c r="K338" s="11"/>
      <c r="L338" s="15"/>
      <c r="M338" s="15"/>
      <c r="N338" s="15"/>
      <c r="O338" s="15"/>
      <c r="P338" s="15"/>
      <c r="Q338" s="11"/>
      <c r="R338" s="11"/>
      <c r="S338" s="11"/>
      <c r="T338" s="11"/>
      <c r="U338" s="15"/>
      <c r="V338" s="11"/>
      <c r="W338" s="11"/>
      <c r="X338" s="11"/>
      <c r="Y338" s="11"/>
      <c r="Z338" s="11"/>
    </row>
    <row r="339">
      <c r="A339" s="18"/>
      <c r="B339" s="11"/>
      <c r="C339" s="11"/>
      <c r="D339" s="11"/>
      <c r="E339" s="11"/>
      <c r="F339" s="11"/>
      <c r="G339" s="11"/>
      <c r="H339" s="11"/>
      <c r="I339" s="11"/>
      <c r="J339" s="11"/>
      <c r="K339" s="11"/>
      <c r="L339" s="15"/>
      <c r="M339" s="15"/>
      <c r="N339" s="15"/>
      <c r="O339" s="15"/>
      <c r="P339" s="15"/>
      <c r="Q339" s="11"/>
      <c r="R339" s="11"/>
      <c r="S339" s="11"/>
      <c r="T339" s="11"/>
      <c r="U339" s="15"/>
      <c r="V339" s="11"/>
      <c r="W339" s="11"/>
      <c r="X339" s="11"/>
      <c r="Y339" s="11"/>
      <c r="Z339" s="11"/>
    </row>
    <row r="340">
      <c r="A340" s="18"/>
      <c r="B340" s="11"/>
      <c r="C340" s="11"/>
      <c r="D340" s="11"/>
      <c r="E340" s="11"/>
      <c r="F340" s="11"/>
      <c r="G340" s="11"/>
      <c r="H340" s="11"/>
      <c r="I340" s="11"/>
      <c r="J340" s="11"/>
      <c r="K340" s="11"/>
      <c r="L340" s="15"/>
      <c r="M340" s="15"/>
      <c r="N340" s="15"/>
      <c r="O340" s="15"/>
      <c r="P340" s="15"/>
      <c r="Q340" s="11"/>
      <c r="R340" s="11"/>
      <c r="S340" s="11"/>
      <c r="T340" s="11"/>
      <c r="U340" s="15"/>
      <c r="V340" s="11"/>
      <c r="W340" s="11"/>
      <c r="X340" s="11"/>
      <c r="Y340" s="11"/>
      <c r="Z340" s="11"/>
    </row>
    <row r="341">
      <c r="A341" s="18"/>
      <c r="B341" s="11"/>
      <c r="C341" s="11"/>
      <c r="D341" s="11"/>
      <c r="E341" s="11"/>
      <c r="F341" s="11"/>
      <c r="G341" s="11"/>
      <c r="H341" s="11"/>
      <c r="I341" s="11"/>
      <c r="J341" s="11"/>
      <c r="K341" s="11"/>
      <c r="L341" s="15"/>
      <c r="M341" s="15"/>
      <c r="N341" s="15"/>
      <c r="O341" s="15"/>
      <c r="P341" s="15"/>
      <c r="Q341" s="11"/>
      <c r="R341" s="11"/>
      <c r="S341" s="11"/>
      <c r="T341" s="11"/>
      <c r="U341" s="15"/>
      <c r="V341" s="11"/>
      <c r="W341" s="11"/>
      <c r="X341" s="11"/>
      <c r="Y341" s="11"/>
      <c r="Z341" s="11"/>
    </row>
    <row r="342">
      <c r="A342" s="18"/>
      <c r="B342" s="11"/>
      <c r="C342" s="11"/>
      <c r="D342" s="11"/>
      <c r="E342" s="11"/>
      <c r="F342" s="11"/>
      <c r="G342" s="11"/>
      <c r="H342" s="11"/>
      <c r="I342" s="11"/>
      <c r="J342" s="11"/>
      <c r="K342" s="11"/>
      <c r="L342" s="15"/>
      <c r="M342" s="15"/>
      <c r="N342" s="15"/>
      <c r="O342" s="15"/>
      <c r="P342" s="15"/>
      <c r="Q342" s="11"/>
      <c r="R342" s="11"/>
      <c r="S342" s="11"/>
      <c r="T342" s="11"/>
      <c r="U342" s="15"/>
      <c r="V342" s="11"/>
      <c r="W342" s="11"/>
      <c r="X342" s="11"/>
      <c r="Y342" s="11"/>
      <c r="Z342" s="11"/>
    </row>
    <row r="343">
      <c r="A343" s="18"/>
      <c r="B343" s="11"/>
      <c r="C343" s="11"/>
      <c r="D343" s="11"/>
      <c r="E343" s="11"/>
      <c r="F343" s="11"/>
      <c r="G343" s="11"/>
      <c r="H343" s="11"/>
      <c r="I343" s="11"/>
      <c r="J343" s="11"/>
      <c r="K343" s="11"/>
      <c r="L343" s="15"/>
      <c r="M343" s="15"/>
      <c r="N343" s="15"/>
      <c r="O343" s="15"/>
      <c r="P343" s="15"/>
      <c r="Q343" s="11"/>
      <c r="R343" s="11"/>
      <c r="S343" s="11"/>
      <c r="T343" s="11"/>
      <c r="U343" s="15"/>
      <c r="V343" s="11"/>
      <c r="W343" s="11"/>
      <c r="X343" s="11"/>
      <c r="Y343" s="11"/>
      <c r="Z343" s="11"/>
    </row>
    <row r="344">
      <c r="A344" s="18"/>
      <c r="B344" s="11"/>
      <c r="C344" s="11"/>
      <c r="D344" s="11"/>
      <c r="E344" s="11"/>
      <c r="F344" s="11"/>
      <c r="G344" s="11"/>
      <c r="H344" s="11"/>
      <c r="I344" s="11"/>
      <c r="J344" s="11"/>
      <c r="K344" s="11"/>
      <c r="L344" s="15"/>
      <c r="M344" s="15"/>
      <c r="N344" s="15"/>
      <c r="O344" s="15"/>
      <c r="P344" s="15"/>
      <c r="Q344" s="11"/>
      <c r="R344" s="11"/>
      <c r="S344" s="11"/>
      <c r="T344" s="11"/>
      <c r="U344" s="15"/>
      <c r="V344" s="11"/>
      <c r="W344" s="11"/>
      <c r="X344" s="11"/>
      <c r="Y344" s="11"/>
      <c r="Z344" s="11"/>
    </row>
    <row r="345">
      <c r="A345" s="18"/>
      <c r="B345" s="11"/>
      <c r="C345" s="11"/>
      <c r="D345" s="11"/>
      <c r="E345" s="11"/>
      <c r="F345" s="11"/>
      <c r="G345" s="11"/>
      <c r="H345" s="11"/>
      <c r="I345" s="11"/>
      <c r="J345" s="11"/>
      <c r="K345" s="11"/>
      <c r="L345" s="15"/>
      <c r="M345" s="15"/>
      <c r="N345" s="15"/>
      <c r="O345" s="15"/>
      <c r="P345" s="15"/>
      <c r="Q345" s="11"/>
      <c r="R345" s="11"/>
      <c r="S345" s="11"/>
      <c r="T345" s="11"/>
      <c r="U345" s="15"/>
      <c r="V345" s="11"/>
      <c r="W345" s="11"/>
      <c r="X345" s="11"/>
      <c r="Y345" s="11"/>
      <c r="Z345" s="11"/>
    </row>
    <row r="346">
      <c r="A346" s="18"/>
      <c r="B346" s="11"/>
      <c r="C346" s="11"/>
      <c r="D346" s="11"/>
      <c r="E346" s="11"/>
      <c r="F346" s="11"/>
      <c r="G346" s="11"/>
      <c r="H346" s="11"/>
      <c r="I346" s="11"/>
      <c r="J346" s="11"/>
      <c r="K346" s="11"/>
      <c r="L346" s="15"/>
      <c r="M346" s="15"/>
      <c r="N346" s="15"/>
      <c r="O346" s="15"/>
      <c r="P346" s="15"/>
      <c r="Q346" s="11"/>
      <c r="R346" s="11"/>
      <c r="S346" s="11"/>
      <c r="T346" s="11"/>
      <c r="U346" s="15"/>
      <c r="V346" s="11"/>
      <c r="W346" s="11"/>
      <c r="X346" s="11"/>
      <c r="Y346" s="11"/>
      <c r="Z346" s="11"/>
    </row>
    <row r="347">
      <c r="A347" s="18"/>
      <c r="B347" s="11"/>
      <c r="C347" s="11"/>
      <c r="D347" s="11"/>
      <c r="E347" s="11"/>
      <c r="F347" s="11"/>
      <c r="G347" s="11"/>
      <c r="H347" s="11"/>
      <c r="I347" s="11"/>
      <c r="J347" s="11"/>
      <c r="K347" s="11"/>
      <c r="L347" s="15"/>
      <c r="M347" s="15"/>
      <c r="N347" s="15"/>
      <c r="O347" s="15"/>
      <c r="P347" s="15"/>
      <c r="Q347" s="11"/>
      <c r="R347" s="11"/>
      <c r="S347" s="11"/>
      <c r="T347" s="11"/>
      <c r="U347" s="15"/>
      <c r="V347" s="11"/>
      <c r="W347" s="11"/>
      <c r="X347" s="11"/>
      <c r="Y347" s="11"/>
      <c r="Z347" s="11"/>
    </row>
    <row r="348">
      <c r="A348" s="18"/>
      <c r="B348" s="11"/>
      <c r="C348" s="11"/>
      <c r="D348" s="11"/>
      <c r="E348" s="11"/>
      <c r="F348" s="11"/>
      <c r="G348" s="11"/>
      <c r="H348" s="11"/>
      <c r="I348" s="11"/>
      <c r="J348" s="11"/>
      <c r="K348" s="11"/>
      <c r="L348" s="15"/>
      <c r="M348" s="15"/>
      <c r="N348" s="15"/>
      <c r="O348" s="15"/>
      <c r="P348" s="15"/>
      <c r="Q348" s="11"/>
      <c r="R348" s="11"/>
      <c r="S348" s="11"/>
      <c r="T348" s="11"/>
      <c r="U348" s="15"/>
      <c r="V348" s="11"/>
      <c r="W348" s="11"/>
      <c r="X348" s="11"/>
      <c r="Y348" s="11"/>
      <c r="Z348" s="11"/>
    </row>
    <row r="349">
      <c r="A349" s="18"/>
      <c r="B349" s="11"/>
      <c r="C349" s="11"/>
      <c r="D349" s="11"/>
      <c r="E349" s="11"/>
      <c r="F349" s="11"/>
      <c r="G349" s="11"/>
      <c r="H349" s="11"/>
      <c r="I349" s="11"/>
      <c r="J349" s="11"/>
      <c r="K349" s="11"/>
      <c r="L349" s="15"/>
      <c r="M349" s="15"/>
      <c r="N349" s="15"/>
      <c r="O349" s="15"/>
      <c r="P349" s="15"/>
      <c r="Q349" s="11"/>
      <c r="R349" s="11"/>
      <c r="S349" s="11"/>
      <c r="T349" s="11"/>
      <c r="U349" s="15"/>
      <c r="V349" s="11"/>
      <c r="W349" s="11"/>
      <c r="X349" s="11"/>
      <c r="Y349" s="11"/>
      <c r="Z349" s="11"/>
    </row>
    <row r="350">
      <c r="A350" s="18"/>
      <c r="B350" s="11"/>
      <c r="C350" s="11"/>
      <c r="D350" s="11"/>
      <c r="E350" s="11"/>
      <c r="F350" s="11"/>
      <c r="G350" s="11"/>
      <c r="H350" s="11"/>
      <c r="I350" s="11"/>
      <c r="J350" s="11"/>
      <c r="K350" s="11"/>
      <c r="L350" s="15"/>
      <c r="M350" s="15"/>
      <c r="N350" s="15"/>
      <c r="O350" s="15"/>
      <c r="P350" s="15"/>
      <c r="Q350" s="11"/>
      <c r="R350" s="11"/>
      <c r="S350" s="11"/>
      <c r="T350" s="11"/>
      <c r="U350" s="15"/>
      <c r="V350" s="11"/>
      <c r="W350" s="11"/>
      <c r="X350" s="11"/>
      <c r="Y350" s="11"/>
      <c r="Z350" s="11"/>
    </row>
    <row r="351">
      <c r="A351" s="18"/>
      <c r="B351" s="11"/>
      <c r="C351" s="11"/>
      <c r="D351" s="11"/>
      <c r="E351" s="11"/>
      <c r="F351" s="11"/>
      <c r="G351" s="11"/>
      <c r="H351" s="11"/>
      <c r="I351" s="11"/>
      <c r="J351" s="11"/>
      <c r="K351" s="11"/>
      <c r="L351" s="15"/>
      <c r="M351" s="15"/>
      <c r="N351" s="15"/>
      <c r="O351" s="15"/>
      <c r="P351" s="15"/>
      <c r="Q351" s="11"/>
      <c r="R351" s="11"/>
      <c r="S351" s="11"/>
      <c r="T351" s="11"/>
      <c r="U351" s="15"/>
      <c r="V351" s="11"/>
      <c r="W351" s="11"/>
      <c r="X351" s="11"/>
      <c r="Y351" s="11"/>
      <c r="Z351" s="11"/>
    </row>
    <row r="352">
      <c r="A352" s="18"/>
      <c r="B352" s="11"/>
      <c r="C352" s="11"/>
      <c r="D352" s="11"/>
      <c r="E352" s="11"/>
      <c r="F352" s="11"/>
      <c r="G352" s="11"/>
      <c r="H352" s="11"/>
      <c r="I352" s="11"/>
      <c r="J352" s="11"/>
      <c r="K352" s="11"/>
      <c r="L352" s="15"/>
      <c r="M352" s="15"/>
      <c r="N352" s="15"/>
      <c r="O352" s="15"/>
      <c r="P352" s="15"/>
      <c r="Q352" s="11"/>
      <c r="R352" s="11"/>
      <c r="S352" s="11"/>
      <c r="T352" s="11"/>
      <c r="U352" s="15"/>
      <c r="V352" s="11"/>
      <c r="W352" s="11"/>
      <c r="X352" s="11"/>
      <c r="Y352" s="11"/>
      <c r="Z352" s="11"/>
    </row>
    <row r="353">
      <c r="A353" s="18"/>
      <c r="B353" s="11"/>
      <c r="C353" s="11"/>
      <c r="D353" s="11"/>
      <c r="E353" s="11"/>
      <c r="F353" s="11"/>
      <c r="G353" s="11"/>
      <c r="H353" s="11"/>
      <c r="I353" s="11"/>
      <c r="J353" s="11"/>
      <c r="K353" s="11"/>
      <c r="L353" s="15"/>
      <c r="M353" s="15"/>
      <c r="N353" s="15"/>
      <c r="O353" s="15"/>
      <c r="P353" s="15"/>
      <c r="Q353" s="11"/>
      <c r="R353" s="11"/>
      <c r="S353" s="11"/>
      <c r="T353" s="11"/>
      <c r="U353" s="15"/>
      <c r="V353" s="11"/>
      <c r="W353" s="11"/>
      <c r="X353" s="11"/>
      <c r="Y353" s="11"/>
      <c r="Z353" s="11"/>
    </row>
    <row r="354">
      <c r="A354" s="18"/>
      <c r="B354" s="11"/>
      <c r="C354" s="11"/>
      <c r="D354" s="11"/>
      <c r="E354" s="11"/>
      <c r="F354" s="11"/>
      <c r="G354" s="11"/>
      <c r="H354" s="11"/>
      <c r="I354" s="11"/>
      <c r="J354" s="11"/>
      <c r="K354" s="11"/>
      <c r="L354" s="15"/>
      <c r="M354" s="15"/>
      <c r="N354" s="15"/>
      <c r="O354" s="15"/>
      <c r="P354" s="15"/>
      <c r="Q354" s="11"/>
      <c r="R354" s="11"/>
      <c r="S354" s="11"/>
      <c r="T354" s="11"/>
      <c r="U354" s="15"/>
      <c r="V354" s="11"/>
      <c r="W354" s="11"/>
      <c r="X354" s="11"/>
      <c r="Y354" s="11"/>
      <c r="Z354" s="11"/>
    </row>
    <row r="355">
      <c r="A355" s="18"/>
      <c r="B355" s="11"/>
      <c r="C355" s="11"/>
      <c r="D355" s="11"/>
      <c r="E355" s="11"/>
      <c r="F355" s="11"/>
      <c r="G355" s="11"/>
      <c r="H355" s="11"/>
      <c r="I355" s="11"/>
      <c r="J355" s="11"/>
      <c r="K355" s="11"/>
      <c r="L355" s="15"/>
      <c r="M355" s="15"/>
      <c r="N355" s="15"/>
      <c r="O355" s="15"/>
      <c r="P355" s="15"/>
      <c r="Q355" s="11"/>
      <c r="R355" s="11"/>
      <c r="S355" s="11"/>
      <c r="T355" s="11"/>
      <c r="U355" s="15"/>
      <c r="V355" s="11"/>
      <c r="W355" s="11"/>
      <c r="X355" s="11"/>
      <c r="Y355" s="11"/>
      <c r="Z355" s="11"/>
    </row>
    <row r="356">
      <c r="A356" s="18"/>
      <c r="B356" s="11"/>
      <c r="C356" s="11"/>
      <c r="D356" s="11"/>
      <c r="E356" s="11"/>
      <c r="F356" s="11"/>
      <c r="G356" s="11"/>
      <c r="H356" s="11"/>
      <c r="I356" s="11"/>
      <c r="J356" s="11"/>
      <c r="K356" s="11"/>
      <c r="L356" s="15"/>
      <c r="M356" s="15"/>
      <c r="N356" s="15"/>
      <c r="O356" s="15"/>
      <c r="P356" s="15"/>
      <c r="Q356" s="11"/>
      <c r="R356" s="11"/>
      <c r="S356" s="11"/>
      <c r="T356" s="11"/>
      <c r="U356" s="15"/>
      <c r="V356" s="11"/>
      <c r="W356" s="11"/>
      <c r="X356" s="11"/>
      <c r="Y356" s="11"/>
      <c r="Z356" s="11"/>
    </row>
    <row r="357">
      <c r="A357" s="18"/>
      <c r="B357" s="11"/>
      <c r="C357" s="11"/>
      <c r="D357" s="11"/>
      <c r="E357" s="11"/>
      <c r="F357" s="11"/>
      <c r="G357" s="11"/>
      <c r="H357" s="11"/>
      <c r="I357" s="11"/>
      <c r="J357" s="11"/>
      <c r="K357" s="11"/>
      <c r="L357" s="15"/>
      <c r="M357" s="15"/>
      <c r="N357" s="15"/>
      <c r="O357" s="15"/>
      <c r="P357" s="15"/>
      <c r="Q357" s="11"/>
      <c r="R357" s="11"/>
      <c r="S357" s="11"/>
      <c r="T357" s="11"/>
      <c r="U357" s="15"/>
      <c r="V357" s="11"/>
      <c r="W357" s="11"/>
      <c r="X357" s="11"/>
      <c r="Y357" s="11"/>
      <c r="Z357" s="11"/>
    </row>
    <row r="358">
      <c r="A358" s="18"/>
      <c r="B358" s="11"/>
      <c r="C358" s="11"/>
      <c r="D358" s="11"/>
      <c r="E358" s="11"/>
      <c r="F358" s="11"/>
      <c r="G358" s="11"/>
      <c r="H358" s="11"/>
      <c r="I358" s="11"/>
      <c r="J358" s="11"/>
      <c r="K358" s="11"/>
      <c r="L358" s="15"/>
      <c r="M358" s="15"/>
      <c r="N358" s="15"/>
      <c r="O358" s="15"/>
      <c r="P358" s="15"/>
      <c r="Q358" s="11"/>
      <c r="R358" s="11"/>
      <c r="S358" s="11"/>
      <c r="T358" s="11"/>
      <c r="U358" s="15"/>
      <c r="V358" s="11"/>
      <c r="W358" s="11"/>
      <c r="X358" s="11"/>
      <c r="Y358" s="11"/>
      <c r="Z358" s="11"/>
    </row>
    <row r="359">
      <c r="A359" s="18"/>
      <c r="B359" s="11"/>
      <c r="C359" s="11"/>
      <c r="D359" s="11"/>
      <c r="E359" s="11"/>
      <c r="F359" s="11"/>
      <c r="G359" s="11"/>
      <c r="H359" s="11"/>
      <c r="I359" s="11"/>
      <c r="J359" s="11"/>
      <c r="K359" s="11"/>
      <c r="L359" s="15"/>
      <c r="M359" s="15"/>
      <c r="N359" s="15"/>
      <c r="O359" s="15"/>
      <c r="P359" s="15"/>
      <c r="Q359" s="11"/>
      <c r="R359" s="11"/>
      <c r="S359" s="11"/>
      <c r="T359" s="11"/>
      <c r="U359" s="15"/>
      <c r="V359" s="11"/>
      <c r="W359" s="11"/>
      <c r="X359" s="11"/>
      <c r="Y359" s="11"/>
      <c r="Z359" s="11"/>
    </row>
    <row r="360">
      <c r="A360" s="18"/>
      <c r="B360" s="11"/>
      <c r="C360" s="11"/>
      <c r="D360" s="11"/>
      <c r="E360" s="11"/>
      <c r="F360" s="11"/>
      <c r="G360" s="11"/>
      <c r="H360" s="11"/>
      <c r="I360" s="11"/>
      <c r="J360" s="11"/>
      <c r="K360" s="11"/>
      <c r="L360" s="15"/>
      <c r="M360" s="15"/>
      <c r="N360" s="15"/>
      <c r="O360" s="15"/>
      <c r="P360" s="15"/>
      <c r="Q360" s="11"/>
      <c r="R360" s="11"/>
      <c r="S360" s="11"/>
      <c r="T360" s="11"/>
      <c r="U360" s="15"/>
      <c r="V360" s="11"/>
      <c r="W360" s="11"/>
      <c r="X360" s="11"/>
      <c r="Y360" s="11"/>
      <c r="Z360" s="11"/>
    </row>
    <row r="361">
      <c r="A361" s="18"/>
      <c r="B361" s="11"/>
      <c r="C361" s="11"/>
      <c r="D361" s="11"/>
      <c r="E361" s="11"/>
      <c r="F361" s="11"/>
      <c r="G361" s="11"/>
      <c r="H361" s="11"/>
      <c r="I361" s="11"/>
      <c r="J361" s="11"/>
      <c r="K361" s="11"/>
      <c r="L361" s="15"/>
      <c r="M361" s="15"/>
      <c r="N361" s="15"/>
      <c r="O361" s="15"/>
      <c r="P361" s="15"/>
      <c r="Q361" s="11"/>
      <c r="R361" s="11"/>
      <c r="S361" s="11"/>
      <c r="T361" s="11"/>
      <c r="U361" s="15"/>
      <c r="V361" s="11"/>
      <c r="W361" s="11"/>
      <c r="X361" s="11"/>
      <c r="Y361" s="11"/>
      <c r="Z361" s="11"/>
    </row>
    <row r="362">
      <c r="A362" s="18"/>
      <c r="B362" s="11"/>
      <c r="C362" s="11"/>
      <c r="D362" s="11"/>
      <c r="E362" s="11"/>
      <c r="F362" s="11"/>
      <c r="G362" s="11"/>
      <c r="H362" s="11"/>
      <c r="I362" s="11"/>
      <c r="J362" s="11"/>
      <c r="K362" s="11"/>
      <c r="L362" s="15"/>
      <c r="M362" s="15"/>
      <c r="N362" s="15"/>
      <c r="O362" s="15"/>
      <c r="P362" s="15"/>
      <c r="Q362" s="11"/>
      <c r="R362" s="11"/>
      <c r="S362" s="11"/>
      <c r="T362" s="11"/>
      <c r="U362" s="15"/>
      <c r="V362" s="11"/>
      <c r="W362" s="11"/>
      <c r="X362" s="11"/>
      <c r="Y362" s="11"/>
      <c r="Z362" s="11"/>
    </row>
    <row r="363">
      <c r="A363" s="18"/>
      <c r="B363" s="11"/>
      <c r="C363" s="11"/>
      <c r="D363" s="11"/>
      <c r="E363" s="11"/>
      <c r="F363" s="11"/>
      <c r="G363" s="11"/>
      <c r="H363" s="11"/>
      <c r="I363" s="11"/>
      <c r="J363" s="11"/>
      <c r="K363" s="11"/>
      <c r="L363" s="15"/>
      <c r="M363" s="15"/>
      <c r="N363" s="15"/>
      <c r="O363" s="15"/>
      <c r="P363" s="15"/>
      <c r="Q363" s="11"/>
      <c r="R363" s="11"/>
      <c r="S363" s="11"/>
      <c r="T363" s="11"/>
      <c r="U363" s="15"/>
      <c r="V363" s="11"/>
      <c r="W363" s="11"/>
      <c r="X363" s="11"/>
      <c r="Y363" s="11"/>
      <c r="Z363" s="11"/>
    </row>
    <row r="364">
      <c r="A364" s="18"/>
      <c r="B364" s="11"/>
      <c r="C364" s="11"/>
      <c r="D364" s="11"/>
      <c r="E364" s="11"/>
      <c r="F364" s="11"/>
      <c r="G364" s="11"/>
      <c r="H364" s="11"/>
      <c r="I364" s="11"/>
      <c r="J364" s="11"/>
      <c r="K364" s="11"/>
      <c r="L364" s="15"/>
      <c r="M364" s="15"/>
      <c r="N364" s="15"/>
      <c r="O364" s="15"/>
      <c r="P364" s="15"/>
      <c r="Q364" s="11"/>
      <c r="R364" s="11"/>
      <c r="S364" s="11"/>
      <c r="T364" s="11"/>
      <c r="U364" s="15"/>
      <c r="V364" s="11"/>
      <c r="W364" s="11"/>
      <c r="X364" s="11"/>
      <c r="Y364" s="11"/>
      <c r="Z364" s="11"/>
    </row>
    <row r="365">
      <c r="A365" s="18"/>
      <c r="B365" s="11"/>
      <c r="C365" s="11"/>
      <c r="D365" s="11"/>
      <c r="E365" s="11"/>
      <c r="F365" s="11"/>
      <c r="G365" s="11"/>
      <c r="H365" s="11"/>
      <c r="I365" s="11"/>
      <c r="J365" s="11"/>
      <c r="K365" s="11"/>
      <c r="L365" s="15"/>
      <c r="M365" s="15"/>
      <c r="N365" s="15"/>
      <c r="O365" s="15"/>
      <c r="P365" s="15"/>
      <c r="Q365" s="11"/>
      <c r="R365" s="11"/>
      <c r="S365" s="11"/>
      <c r="T365" s="11"/>
      <c r="U365" s="15"/>
      <c r="V365" s="11"/>
      <c r="W365" s="11"/>
      <c r="X365" s="11"/>
      <c r="Y365" s="11"/>
      <c r="Z365" s="11"/>
    </row>
    <row r="366">
      <c r="A366" s="18"/>
      <c r="B366" s="11"/>
      <c r="C366" s="11"/>
      <c r="D366" s="11"/>
      <c r="E366" s="11"/>
      <c r="F366" s="11"/>
      <c r="G366" s="11"/>
      <c r="H366" s="11"/>
      <c r="I366" s="11"/>
      <c r="J366" s="11"/>
      <c r="K366" s="11"/>
      <c r="L366" s="15"/>
      <c r="M366" s="15"/>
      <c r="N366" s="15"/>
      <c r="O366" s="15"/>
      <c r="P366" s="15"/>
      <c r="Q366" s="11"/>
      <c r="R366" s="11"/>
      <c r="S366" s="11"/>
      <c r="T366" s="11"/>
      <c r="U366" s="15"/>
      <c r="V366" s="11"/>
      <c r="W366" s="11"/>
      <c r="X366" s="11"/>
      <c r="Y366" s="11"/>
      <c r="Z366" s="11"/>
    </row>
    <row r="367">
      <c r="A367" s="18"/>
      <c r="B367" s="11"/>
      <c r="C367" s="11"/>
      <c r="D367" s="11"/>
      <c r="E367" s="11"/>
      <c r="F367" s="11"/>
      <c r="G367" s="11"/>
      <c r="H367" s="11"/>
      <c r="I367" s="11"/>
      <c r="J367" s="11"/>
      <c r="K367" s="11"/>
      <c r="L367" s="15"/>
      <c r="M367" s="15"/>
      <c r="N367" s="15"/>
      <c r="O367" s="15"/>
      <c r="P367" s="15"/>
      <c r="Q367" s="11"/>
      <c r="R367" s="11"/>
      <c r="S367" s="11"/>
      <c r="T367" s="11"/>
      <c r="U367" s="15"/>
      <c r="V367" s="11"/>
      <c r="W367" s="11"/>
      <c r="X367" s="11"/>
      <c r="Y367" s="11"/>
      <c r="Z367" s="11"/>
    </row>
    <row r="368">
      <c r="A368" s="18"/>
      <c r="B368" s="11"/>
      <c r="C368" s="11"/>
      <c r="D368" s="11"/>
      <c r="E368" s="11"/>
      <c r="F368" s="11"/>
      <c r="G368" s="11"/>
      <c r="H368" s="11"/>
      <c r="I368" s="11"/>
      <c r="J368" s="11"/>
      <c r="K368" s="11"/>
      <c r="L368" s="15"/>
      <c r="M368" s="15"/>
      <c r="N368" s="15"/>
      <c r="O368" s="15"/>
      <c r="P368" s="15"/>
      <c r="Q368" s="11"/>
      <c r="R368" s="11"/>
      <c r="S368" s="11"/>
      <c r="T368" s="11"/>
      <c r="U368" s="15"/>
      <c r="V368" s="11"/>
      <c r="W368" s="11"/>
      <c r="X368" s="11"/>
      <c r="Y368" s="11"/>
      <c r="Z368" s="11"/>
    </row>
    <row r="369">
      <c r="A369" s="18"/>
      <c r="B369" s="11"/>
      <c r="C369" s="11"/>
      <c r="D369" s="11"/>
      <c r="E369" s="11"/>
      <c r="F369" s="11"/>
      <c r="G369" s="11"/>
      <c r="H369" s="11"/>
      <c r="I369" s="11"/>
      <c r="J369" s="11"/>
      <c r="K369" s="11"/>
      <c r="L369" s="15"/>
      <c r="M369" s="15"/>
      <c r="N369" s="15"/>
      <c r="O369" s="15"/>
      <c r="P369" s="15"/>
      <c r="Q369" s="11"/>
      <c r="R369" s="11"/>
      <c r="S369" s="11"/>
      <c r="T369" s="11"/>
      <c r="U369" s="15"/>
      <c r="V369" s="11"/>
      <c r="W369" s="11"/>
      <c r="X369" s="11"/>
      <c r="Y369" s="11"/>
      <c r="Z369" s="11"/>
    </row>
    <row r="370">
      <c r="A370" s="18"/>
      <c r="B370" s="11"/>
      <c r="C370" s="11"/>
      <c r="D370" s="11"/>
      <c r="E370" s="11"/>
      <c r="F370" s="11"/>
      <c r="G370" s="11"/>
      <c r="H370" s="11"/>
      <c r="I370" s="11"/>
      <c r="J370" s="11"/>
      <c r="K370" s="11"/>
      <c r="L370" s="15"/>
      <c r="M370" s="15"/>
      <c r="N370" s="15"/>
      <c r="O370" s="15"/>
      <c r="P370" s="15"/>
      <c r="Q370" s="11"/>
      <c r="R370" s="11"/>
      <c r="S370" s="11"/>
      <c r="T370" s="11"/>
      <c r="U370" s="15"/>
      <c r="V370" s="11"/>
      <c r="W370" s="11"/>
      <c r="X370" s="11"/>
      <c r="Y370" s="11"/>
      <c r="Z370" s="11"/>
    </row>
    <row r="371">
      <c r="A371" s="18"/>
      <c r="B371" s="11"/>
      <c r="C371" s="11"/>
      <c r="D371" s="11"/>
      <c r="E371" s="11"/>
      <c r="F371" s="11"/>
      <c r="G371" s="11"/>
      <c r="H371" s="11"/>
      <c r="I371" s="11"/>
      <c r="J371" s="11"/>
      <c r="K371" s="11"/>
      <c r="L371" s="15"/>
      <c r="M371" s="15"/>
      <c r="N371" s="15"/>
      <c r="O371" s="15"/>
      <c r="P371" s="15"/>
      <c r="Q371" s="11"/>
      <c r="R371" s="11"/>
      <c r="S371" s="11"/>
      <c r="T371" s="11"/>
      <c r="U371" s="15"/>
      <c r="V371" s="11"/>
      <c r="W371" s="11"/>
      <c r="X371" s="11"/>
      <c r="Y371" s="11"/>
      <c r="Z371" s="11"/>
    </row>
    <row r="372">
      <c r="A372" s="18"/>
      <c r="B372" s="11"/>
      <c r="C372" s="11"/>
      <c r="D372" s="11"/>
      <c r="E372" s="11"/>
      <c r="F372" s="11"/>
      <c r="G372" s="11"/>
      <c r="H372" s="11"/>
      <c r="I372" s="11"/>
      <c r="J372" s="11"/>
      <c r="K372" s="11"/>
      <c r="L372" s="15"/>
      <c r="M372" s="15"/>
      <c r="N372" s="15"/>
      <c r="O372" s="15"/>
      <c r="P372" s="15"/>
      <c r="Q372" s="11"/>
      <c r="R372" s="11"/>
      <c r="S372" s="11"/>
      <c r="T372" s="11"/>
      <c r="U372" s="15"/>
      <c r="V372" s="11"/>
      <c r="W372" s="11"/>
      <c r="X372" s="11"/>
      <c r="Y372" s="11"/>
      <c r="Z372" s="11"/>
    </row>
    <row r="373">
      <c r="A373" s="18"/>
      <c r="B373" s="11"/>
      <c r="C373" s="11"/>
      <c r="D373" s="11"/>
      <c r="E373" s="11"/>
      <c r="F373" s="11"/>
      <c r="G373" s="11"/>
      <c r="H373" s="11"/>
      <c r="I373" s="11"/>
      <c r="J373" s="11"/>
      <c r="K373" s="11"/>
      <c r="L373" s="15"/>
      <c r="M373" s="15"/>
      <c r="N373" s="15"/>
      <c r="O373" s="15"/>
      <c r="P373" s="15"/>
      <c r="Q373" s="11"/>
      <c r="R373" s="11"/>
      <c r="S373" s="11"/>
      <c r="T373" s="11"/>
      <c r="U373" s="15"/>
      <c r="V373" s="11"/>
      <c r="W373" s="11"/>
      <c r="X373" s="11"/>
      <c r="Y373" s="11"/>
      <c r="Z373" s="11"/>
    </row>
    <row r="374">
      <c r="A374" s="18"/>
      <c r="B374" s="11"/>
      <c r="C374" s="11"/>
      <c r="D374" s="11"/>
      <c r="E374" s="11"/>
      <c r="F374" s="11"/>
      <c r="G374" s="11"/>
      <c r="H374" s="11"/>
      <c r="I374" s="11"/>
      <c r="J374" s="11"/>
      <c r="K374" s="11"/>
      <c r="L374" s="15"/>
      <c r="M374" s="15"/>
      <c r="N374" s="15"/>
      <c r="O374" s="15"/>
      <c r="P374" s="15"/>
      <c r="Q374" s="11"/>
      <c r="R374" s="11"/>
      <c r="S374" s="11"/>
      <c r="T374" s="11"/>
      <c r="U374" s="15"/>
      <c r="V374" s="11"/>
      <c r="W374" s="11"/>
      <c r="X374" s="11"/>
      <c r="Y374" s="11"/>
      <c r="Z374" s="11"/>
    </row>
    <row r="375">
      <c r="A375" s="18"/>
      <c r="B375" s="11"/>
      <c r="C375" s="11"/>
      <c r="D375" s="11"/>
      <c r="E375" s="11"/>
      <c r="F375" s="11"/>
      <c r="G375" s="11"/>
      <c r="H375" s="11"/>
      <c r="I375" s="11"/>
      <c r="J375" s="11"/>
      <c r="K375" s="11"/>
      <c r="L375" s="15"/>
      <c r="M375" s="15"/>
      <c r="N375" s="15"/>
      <c r="O375" s="15"/>
      <c r="P375" s="15"/>
      <c r="Q375" s="11"/>
      <c r="R375" s="11"/>
      <c r="S375" s="11"/>
      <c r="T375" s="11"/>
      <c r="U375" s="15"/>
      <c r="V375" s="11"/>
      <c r="W375" s="11"/>
      <c r="X375" s="11"/>
      <c r="Y375" s="11"/>
      <c r="Z375" s="11"/>
    </row>
    <row r="376">
      <c r="A376" s="18"/>
      <c r="B376" s="11"/>
      <c r="C376" s="11"/>
      <c r="D376" s="11"/>
      <c r="E376" s="11"/>
      <c r="F376" s="11"/>
      <c r="G376" s="11"/>
      <c r="H376" s="11"/>
      <c r="I376" s="11"/>
      <c r="J376" s="11"/>
      <c r="K376" s="11"/>
      <c r="L376" s="15"/>
      <c r="M376" s="15"/>
      <c r="N376" s="15"/>
      <c r="O376" s="15"/>
      <c r="P376" s="15"/>
      <c r="Q376" s="11"/>
      <c r="R376" s="11"/>
      <c r="S376" s="11"/>
      <c r="T376" s="11"/>
      <c r="U376" s="15"/>
      <c r="V376" s="11"/>
      <c r="W376" s="11"/>
      <c r="X376" s="11"/>
      <c r="Y376" s="11"/>
      <c r="Z376" s="11"/>
    </row>
    <row r="377">
      <c r="A377" s="18"/>
      <c r="B377" s="11"/>
      <c r="C377" s="11"/>
      <c r="D377" s="11"/>
      <c r="E377" s="11"/>
      <c r="F377" s="11"/>
      <c r="G377" s="11"/>
      <c r="H377" s="11"/>
      <c r="I377" s="11"/>
      <c r="J377" s="11"/>
      <c r="K377" s="11"/>
      <c r="L377" s="15"/>
      <c r="M377" s="15"/>
      <c r="N377" s="15"/>
      <c r="O377" s="15"/>
      <c r="P377" s="15"/>
      <c r="Q377" s="11"/>
      <c r="R377" s="11"/>
      <c r="S377" s="11"/>
      <c r="T377" s="11"/>
      <c r="U377" s="15"/>
      <c r="V377" s="11"/>
      <c r="W377" s="11"/>
      <c r="X377" s="11"/>
      <c r="Y377" s="11"/>
      <c r="Z377" s="11"/>
    </row>
    <row r="378">
      <c r="A378" s="18"/>
      <c r="B378" s="11"/>
      <c r="C378" s="11"/>
      <c r="D378" s="11"/>
      <c r="E378" s="11"/>
      <c r="F378" s="11"/>
      <c r="G378" s="11"/>
      <c r="H378" s="11"/>
      <c r="I378" s="11"/>
      <c r="J378" s="11"/>
      <c r="K378" s="11"/>
      <c r="L378" s="15"/>
      <c r="M378" s="15"/>
      <c r="N378" s="15"/>
      <c r="O378" s="15"/>
      <c r="P378" s="15"/>
      <c r="Q378" s="11"/>
      <c r="R378" s="11"/>
      <c r="S378" s="11"/>
      <c r="T378" s="11"/>
      <c r="U378" s="15"/>
      <c r="V378" s="11"/>
      <c r="W378" s="11"/>
      <c r="X378" s="11"/>
      <c r="Y378" s="11"/>
      <c r="Z378" s="11"/>
    </row>
    <row r="379">
      <c r="A379" s="18"/>
      <c r="B379" s="11"/>
      <c r="C379" s="11"/>
      <c r="D379" s="11"/>
      <c r="E379" s="11"/>
      <c r="F379" s="11"/>
      <c r="G379" s="11"/>
      <c r="H379" s="11"/>
      <c r="I379" s="11"/>
      <c r="J379" s="11"/>
      <c r="K379" s="11"/>
      <c r="L379" s="15"/>
      <c r="M379" s="15"/>
      <c r="N379" s="15"/>
      <c r="O379" s="15"/>
      <c r="P379" s="15"/>
      <c r="Q379" s="11"/>
      <c r="R379" s="11"/>
      <c r="S379" s="11"/>
      <c r="T379" s="11"/>
      <c r="U379" s="15"/>
      <c r="V379" s="11"/>
      <c r="W379" s="11"/>
      <c r="X379" s="11"/>
      <c r="Y379" s="11"/>
      <c r="Z379" s="11"/>
    </row>
    <row r="380">
      <c r="A380" s="18"/>
      <c r="B380" s="11"/>
      <c r="C380" s="11"/>
      <c r="D380" s="11"/>
      <c r="E380" s="11"/>
      <c r="F380" s="11"/>
      <c r="G380" s="11"/>
      <c r="H380" s="11"/>
      <c r="I380" s="11"/>
      <c r="J380" s="11"/>
      <c r="K380" s="11"/>
      <c r="L380" s="15"/>
      <c r="M380" s="15"/>
      <c r="N380" s="15"/>
      <c r="O380" s="15"/>
      <c r="P380" s="15"/>
      <c r="Q380" s="11"/>
      <c r="R380" s="11"/>
      <c r="S380" s="11"/>
      <c r="T380" s="11"/>
      <c r="U380" s="15"/>
      <c r="V380" s="11"/>
      <c r="W380" s="11"/>
      <c r="X380" s="11"/>
      <c r="Y380" s="11"/>
      <c r="Z380" s="11"/>
    </row>
    <row r="381">
      <c r="A381" s="18"/>
      <c r="B381" s="11"/>
      <c r="C381" s="11"/>
      <c r="D381" s="11"/>
      <c r="E381" s="11"/>
      <c r="F381" s="11"/>
      <c r="G381" s="11"/>
      <c r="H381" s="11"/>
      <c r="I381" s="11"/>
      <c r="J381" s="11"/>
      <c r="K381" s="11"/>
      <c r="L381" s="15"/>
      <c r="M381" s="15"/>
      <c r="N381" s="15"/>
      <c r="O381" s="15"/>
      <c r="P381" s="15"/>
      <c r="Q381" s="11"/>
      <c r="R381" s="11"/>
      <c r="S381" s="11"/>
      <c r="T381" s="11"/>
      <c r="U381" s="15"/>
      <c r="V381" s="11"/>
      <c r="W381" s="11"/>
      <c r="X381" s="11"/>
      <c r="Y381" s="11"/>
      <c r="Z381" s="11"/>
    </row>
    <row r="382">
      <c r="A382" s="18"/>
      <c r="B382" s="11"/>
      <c r="C382" s="11"/>
      <c r="D382" s="11"/>
      <c r="E382" s="11"/>
      <c r="F382" s="11"/>
      <c r="G382" s="11"/>
      <c r="H382" s="11"/>
      <c r="I382" s="11"/>
      <c r="J382" s="11"/>
      <c r="K382" s="11"/>
      <c r="L382" s="15"/>
      <c r="M382" s="15"/>
      <c r="N382" s="15"/>
      <c r="O382" s="15"/>
      <c r="P382" s="15"/>
      <c r="Q382" s="11"/>
      <c r="R382" s="11"/>
      <c r="S382" s="11"/>
      <c r="T382" s="11"/>
      <c r="U382" s="15"/>
      <c r="V382" s="11"/>
      <c r="W382" s="11"/>
      <c r="X382" s="11"/>
      <c r="Y382" s="11"/>
      <c r="Z382" s="11"/>
    </row>
    <row r="383">
      <c r="A383" s="18"/>
      <c r="B383" s="11"/>
      <c r="C383" s="11"/>
      <c r="D383" s="11"/>
      <c r="E383" s="11"/>
      <c r="F383" s="11"/>
      <c r="G383" s="11"/>
      <c r="H383" s="11"/>
      <c r="I383" s="11"/>
      <c r="J383" s="11"/>
      <c r="K383" s="11"/>
      <c r="L383" s="15"/>
      <c r="M383" s="15"/>
      <c r="N383" s="15"/>
      <c r="O383" s="15"/>
      <c r="P383" s="15"/>
      <c r="Q383" s="11"/>
      <c r="R383" s="11"/>
      <c r="S383" s="11"/>
      <c r="T383" s="11"/>
      <c r="U383" s="15"/>
      <c r="V383" s="11"/>
      <c r="W383" s="11"/>
      <c r="X383" s="11"/>
      <c r="Y383" s="11"/>
      <c r="Z383" s="11"/>
    </row>
    <row r="384">
      <c r="A384" s="18"/>
      <c r="B384" s="11"/>
      <c r="C384" s="11"/>
      <c r="D384" s="11"/>
      <c r="E384" s="11"/>
      <c r="F384" s="11"/>
      <c r="G384" s="11"/>
      <c r="H384" s="11"/>
      <c r="I384" s="11"/>
      <c r="J384" s="11"/>
      <c r="K384" s="11"/>
      <c r="L384" s="15"/>
      <c r="M384" s="15"/>
      <c r="N384" s="15"/>
      <c r="O384" s="15"/>
      <c r="P384" s="15"/>
      <c r="Q384" s="11"/>
      <c r="R384" s="11"/>
      <c r="S384" s="11"/>
      <c r="T384" s="11"/>
      <c r="U384" s="15"/>
      <c r="V384" s="11"/>
      <c r="W384" s="11"/>
      <c r="X384" s="11"/>
      <c r="Y384" s="11"/>
      <c r="Z384" s="11"/>
    </row>
    <row r="385">
      <c r="A385" s="18"/>
      <c r="B385" s="11"/>
      <c r="C385" s="11"/>
      <c r="D385" s="11"/>
      <c r="E385" s="11"/>
      <c r="F385" s="11"/>
      <c r="G385" s="11"/>
      <c r="H385" s="11"/>
      <c r="I385" s="11"/>
      <c r="J385" s="11"/>
      <c r="K385" s="11"/>
      <c r="L385" s="15"/>
      <c r="M385" s="15"/>
      <c r="N385" s="15"/>
      <c r="O385" s="15"/>
      <c r="P385" s="15"/>
      <c r="Q385" s="11"/>
      <c r="R385" s="11"/>
      <c r="S385" s="11"/>
      <c r="T385" s="11"/>
      <c r="U385" s="15"/>
      <c r="V385" s="11"/>
      <c r="W385" s="11"/>
      <c r="X385" s="11"/>
      <c r="Y385" s="11"/>
      <c r="Z385" s="11"/>
    </row>
    <row r="386">
      <c r="A386" s="18"/>
      <c r="B386" s="11"/>
      <c r="C386" s="11"/>
      <c r="D386" s="11"/>
      <c r="E386" s="11"/>
      <c r="F386" s="11"/>
      <c r="G386" s="11"/>
      <c r="H386" s="11"/>
      <c r="I386" s="11"/>
      <c r="J386" s="11"/>
      <c r="K386" s="11"/>
      <c r="L386" s="15"/>
      <c r="M386" s="15"/>
      <c r="N386" s="15"/>
      <c r="O386" s="15"/>
      <c r="P386" s="15"/>
      <c r="Q386" s="11"/>
      <c r="R386" s="11"/>
      <c r="S386" s="11"/>
      <c r="T386" s="11"/>
      <c r="U386" s="15"/>
      <c r="V386" s="11"/>
      <c r="W386" s="11"/>
      <c r="X386" s="11"/>
      <c r="Y386" s="11"/>
      <c r="Z386" s="11"/>
    </row>
    <row r="387">
      <c r="A387" s="18"/>
      <c r="B387" s="11"/>
      <c r="C387" s="11"/>
      <c r="D387" s="11"/>
      <c r="E387" s="11"/>
      <c r="F387" s="11"/>
      <c r="G387" s="11"/>
      <c r="H387" s="11"/>
      <c r="I387" s="11"/>
      <c r="J387" s="11"/>
      <c r="K387" s="11"/>
      <c r="L387" s="15"/>
      <c r="M387" s="15"/>
      <c r="N387" s="15"/>
      <c r="O387" s="15"/>
      <c r="P387" s="15"/>
      <c r="Q387" s="11"/>
      <c r="R387" s="11"/>
      <c r="S387" s="11"/>
      <c r="T387" s="11"/>
      <c r="U387" s="15"/>
      <c r="V387" s="11"/>
      <c r="W387" s="11"/>
      <c r="X387" s="11"/>
      <c r="Y387" s="11"/>
      <c r="Z387" s="11"/>
    </row>
    <row r="388">
      <c r="A388" s="18"/>
      <c r="B388" s="11"/>
      <c r="C388" s="11"/>
      <c r="D388" s="11"/>
      <c r="E388" s="11"/>
      <c r="F388" s="11"/>
      <c r="G388" s="11"/>
      <c r="H388" s="11"/>
      <c r="I388" s="11"/>
      <c r="J388" s="11"/>
      <c r="K388" s="11"/>
      <c r="L388" s="15"/>
      <c r="M388" s="15"/>
      <c r="N388" s="15"/>
      <c r="O388" s="15"/>
      <c r="P388" s="15"/>
      <c r="Q388" s="11"/>
      <c r="R388" s="11"/>
      <c r="S388" s="11"/>
      <c r="T388" s="11"/>
      <c r="U388" s="15"/>
      <c r="V388" s="11"/>
      <c r="W388" s="11"/>
      <c r="X388" s="11"/>
      <c r="Y388" s="11"/>
      <c r="Z388" s="11"/>
    </row>
    <row r="389">
      <c r="A389" s="18"/>
      <c r="B389" s="11"/>
      <c r="C389" s="11"/>
      <c r="D389" s="11"/>
      <c r="E389" s="11"/>
      <c r="F389" s="11"/>
      <c r="G389" s="11"/>
      <c r="H389" s="11"/>
      <c r="I389" s="11"/>
      <c r="J389" s="11"/>
      <c r="K389" s="11"/>
      <c r="L389" s="15"/>
      <c r="M389" s="15"/>
      <c r="N389" s="15"/>
      <c r="O389" s="15"/>
      <c r="P389" s="15"/>
      <c r="Q389" s="11"/>
      <c r="R389" s="11"/>
      <c r="S389" s="11"/>
      <c r="T389" s="11"/>
      <c r="U389" s="15"/>
      <c r="V389" s="11"/>
      <c r="W389" s="11"/>
      <c r="X389" s="11"/>
      <c r="Y389" s="11"/>
      <c r="Z389" s="11"/>
    </row>
    <row r="390">
      <c r="A390" s="18"/>
      <c r="B390" s="11"/>
      <c r="C390" s="11"/>
      <c r="D390" s="11"/>
      <c r="E390" s="11"/>
      <c r="F390" s="11"/>
      <c r="G390" s="11"/>
      <c r="H390" s="11"/>
      <c r="I390" s="11"/>
      <c r="J390" s="11"/>
      <c r="K390" s="11"/>
      <c r="L390" s="15"/>
      <c r="M390" s="15"/>
      <c r="N390" s="15"/>
      <c r="O390" s="15"/>
      <c r="P390" s="15"/>
      <c r="Q390" s="11"/>
      <c r="R390" s="11"/>
      <c r="S390" s="11"/>
      <c r="T390" s="11"/>
      <c r="U390" s="15"/>
      <c r="V390" s="11"/>
      <c r="W390" s="11"/>
      <c r="X390" s="11"/>
      <c r="Y390" s="11"/>
      <c r="Z390" s="11"/>
    </row>
    <row r="391">
      <c r="A391" s="18"/>
      <c r="B391" s="11"/>
      <c r="C391" s="11"/>
      <c r="D391" s="11"/>
      <c r="E391" s="11"/>
      <c r="F391" s="11"/>
      <c r="G391" s="11"/>
      <c r="H391" s="11"/>
      <c r="I391" s="11"/>
      <c r="J391" s="11"/>
      <c r="K391" s="11"/>
      <c r="L391" s="15"/>
      <c r="M391" s="15"/>
      <c r="N391" s="15"/>
      <c r="O391" s="15"/>
      <c r="P391" s="15"/>
      <c r="Q391" s="11"/>
      <c r="R391" s="11"/>
      <c r="S391" s="11"/>
      <c r="T391" s="11"/>
      <c r="U391" s="15"/>
      <c r="V391" s="11"/>
      <c r="W391" s="11"/>
      <c r="X391" s="11"/>
      <c r="Y391" s="11"/>
      <c r="Z391" s="11"/>
    </row>
    <row r="392">
      <c r="A392" s="18"/>
      <c r="B392" s="11"/>
      <c r="C392" s="11"/>
      <c r="D392" s="11"/>
      <c r="E392" s="11"/>
      <c r="F392" s="11"/>
      <c r="G392" s="11"/>
      <c r="H392" s="11"/>
      <c r="I392" s="11"/>
      <c r="J392" s="11"/>
      <c r="K392" s="11"/>
      <c r="L392" s="15"/>
      <c r="M392" s="15"/>
      <c r="N392" s="15"/>
      <c r="O392" s="15"/>
      <c r="P392" s="15"/>
      <c r="Q392" s="11"/>
      <c r="R392" s="11"/>
      <c r="S392" s="11"/>
      <c r="T392" s="11"/>
      <c r="U392" s="15"/>
      <c r="V392" s="11"/>
      <c r="W392" s="11"/>
      <c r="X392" s="11"/>
      <c r="Y392" s="11"/>
      <c r="Z392" s="11"/>
    </row>
    <row r="393">
      <c r="A393" s="18"/>
      <c r="B393" s="11"/>
      <c r="C393" s="11"/>
      <c r="D393" s="11"/>
      <c r="E393" s="11"/>
      <c r="F393" s="11"/>
      <c r="G393" s="11"/>
      <c r="H393" s="11"/>
      <c r="I393" s="11"/>
      <c r="J393" s="11"/>
      <c r="K393" s="11"/>
      <c r="L393" s="15"/>
      <c r="M393" s="15"/>
      <c r="N393" s="15"/>
      <c r="O393" s="15"/>
      <c r="P393" s="15"/>
      <c r="Q393" s="11"/>
      <c r="R393" s="11"/>
      <c r="S393" s="11"/>
      <c r="T393" s="11"/>
      <c r="U393" s="15"/>
      <c r="V393" s="11"/>
      <c r="W393" s="11"/>
      <c r="X393" s="11"/>
      <c r="Y393" s="11"/>
      <c r="Z393" s="11"/>
    </row>
    <row r="394">
      <c r="A394" s="18"/>
      <c r="B394" s="11"/>
      <c r="C394" s="11"/>
      <c r="D394" s="11"/>
      <c r="E394" s="11"/>
      <c r="F394" s="11"/>
      <c r="G394" s="11"/>
      <c r="H394" s="11"/>
      <c r="I394" s="11"/>
      <c r="J394" s="11"/>
      <c r="K394" s="11"/>
      <c r="L394" s="15"/>
      <c r="M394" s="15"/>
      <c r="N394" s="15"/>
      <c r="O394" s="15"/>
      <c r="P394" s="15"/>
      <c r="Q394" s="11"/>
      <c r="R394" s="11"/>
      <c r="S394" s="11"/>
      <c r="T394" s="11"/>
      <c r="U394" s="15"/>
      <c r="V394" s="11"/>
      <c r="W394" s="11"/>
      <c r="X394" s="11"/>
      <c r="Y394" s="11"/>
      <c r="Z394" s="11"/>
    </row>
    <row r="395">
      <c r="A395" s="18"/>
      <c r="B395" s="11"/>
      <c r="C395" s="11"/>
      <c r="D395" s="11"/>
      <c r="E395" s="11"/>
      <c r="F395" s="11"/>
      <c r="G395" s="11"/>
      <c r="H395" s="11"/>
      <c r="I395" s="11"/>
      <c r="J395" s="11"/>
      <c r="K395" s="11"/>
      <c r="L395" s="15"/>
      <c r="M395" s="15"/>
      <c r="N395" s="15"/>
      <c r="O395" s="15"/>
      <c r="P395" s="15"/>
      <c r="Q395" s="11"/>
      <c r="R395" s="11"/>
      <c r="S395" s="11"/>
      <c r="T395" s="11"/>
      <c r="U395" s="15"/>
      <c r="V395" s="11"/>
      <c r="W395" s="11"/>
      <c r="X395" s="11"/>
      <c r="Y395" s="11"/>
      <c r="Z395" s="11"/>
    </row>
    <row r="396">
      <c r="A396" s="18"/>
      <c r="B396" s="11"/>
      <c r="C396" s="11"/>
      <c r="D396" s="11"/>
      <c r="E396" s="11"/>
      <c r="F396" s="11"/>
      <c r="G396" s="11"/>
      <c r="H396" s="11"/>
      <c r="I396" s="11"/>
      <c r="J396" s="11"/>
      <c r="K396" s="11"/>
      <c r="L396" s="15"/>
      <c r="M396" s="15"/>
      <c r="N396" s="15"/>
      <c r="O396" s="15"/>
      <c r="P396" s="15"/>
      <c r="Q396" s="11"/>
      <c r="R396" s="11"/>
      <c r="S396" s="11"/>
      <c r="T396" s="11"/>
      <c r="U396" s="15"/>
      <c r="V396" s="11"/>
      <c r="W396" s="11"/>
      <c r="X396" s="11"/>
      <c r="Y396" s="11"/>
      <c r="Z396" s="11"/>
    </row>
    <row r="397">
      <c r="A397" s="18"/>
      <c r="B397" s="11"/>
      <c r="C397" s="11"/>
      <c r="D397" s="11"/>
      <c r="E397" s="11"/>
      <c r="F397" s="11"/>
      <c r="G397" s="11"/>
      <c r="H397" s="11"/>
      <c r="I397" s="11"/>
      <c r="J397" s="11"/>
      <c r="K397" s="11"/>
      <c r="L397" s="15"/>
      <c r="M397" s="15"/>
      <c r="N397" s="15"/>
      <c r="O397" s="15"/>
      <c r="P397" s="15"/>
      <c r="Q397" s="11"/>
      <c r="R397" s="11"/>
      <c r="S397" s="11"/>
      <c r="T397" s="11"/>
      <c r="U397" s="15"/>
      <c r="V397" s="11"/>
      <c r="W397" s="11"/>
      <c r="X397" s="11"/>
      <c r="Y397" s="11"/>
      <c r="Z397" s="11"/>
    </row>
    <row r="398">
      <c r="A398" s="18"/>
      <c r="B398" s="11"/>
      <c r="C398" s="11"/>
      <c r="D398" s="11"/>
      <c r="E398" s="11"/>
      <c r="F398" s="11"/>
      <c r="G398" s="11"/>
      <c r="H398" s="11"/>
      <c r="I398" s="11"/>
      <c r="J398" s="11"/>
      <c r="K398" s="11"/>
      <c r="L398" s="15"/>
      <c r="M398" s="15"/>
      <c r="N398" s="15"/>
      <c r="O398" s="15"/>
      <c r="P398" s="15"/>
      <c r="Q398" s="11"/>
      <c r="R398" s="11"/>
      <c r="S398" s="11"/>
      <c r="T398" s="11"/>
      <c r="U398" s="15"/>
      <c r="V398" s="11"/>
      <c r="W398" s="11"/>
      <c r="X398" s="11"/>
      <c r="Y398" s="11"/>
      <c r="Z398" s="11"/>
    </row>
    <row r="399">
      <c r="A399" s="18"/>
      <c r="B399" s="11"/>
      <c r="C399" s="11"/>
      <c r="D399" s="11"/>
      <c r="E399" s="11"/>
      <c r="F399" s="11"/>
      <c r="G399" s="11"/>
      <c r="H399" s="11"/>
      <c r="I399" s="11"/>
      <c r="J399" s="11"/>
      <c r="K399" s="11"/>
      <c r="L399" s="15"/>
      <c r="M399" s="15"/>
      <c r="N399" s="15"/>
      <c r="O399" s="15"/>
      <c r="P399" s="15"/>
      <c r="Q399" s="11"/>
      <c r="R399" s="11"/>
      <c r="S399" s="11"/>
      <c r="T399" s="11"/>
      <c r="U399" s="15"/>
      <c r="V399" s="11"/>
      <c r="W399" s="11"/>
      <c r="X399" s="11"/>
      <c r="Y399" s="11"/>
      <c r="Z399" s="11"/>
    </row>
    <row r="400">
      <c r="A400" s="18"/>
      <c r="B400" s="11"/>
      <c r="C400" s="11"/>
      <c r="D400" s="11"/>
      <c r="E400" s="11"/>
      <c r="F400" s="11"/>
      <c r="G400" s="11"/>
      <c r="H400" s="11"/>
      <c r="I400" s="11"/>
      <c r="J400" s="11"/>
      <c r="K400" s="11"/>
      <c r="L400" s="15"/>
      <c r="M400" s="15"/>
      <c r="N400" s="15"/>
      <c r="O400" s="15"/>
      <c r="P400" s="15"/>
      <c r="Q400" s="11"/>
      <c r="R400" s="11"/>
      <c r="S400" s="11"/>
      <c r="T400" s="11"/>
      <c r="U400" s="15"/>
      <c r="V400" s="11"/>
      <c r="W400" s="11"/>
      <c r="X400" s="11"/>
      <c r="Y400" s="11"/>
      <c r="Z400" s="11"/>
    </row>
    <row r="401">
      <c r="A401" s="18"/>
      <c r="B401" s="11"/>
      <c r="C401" s="11"/>
      <c r="D401" s="11"/>
      <c r="E401" s="11"/>
      <c r="F401" s="11"/>
      <c r="G401" s="11"/>
      <c r="H401" s="11"/>
      <c r="I401" s="11"/>
      <c r="J401" s="11"/>
      <c r="K401" s="11"/>
      <c r="L401" s="15"/>
      <c r="M401" s="15"/>
      <c r="N401" s="15"/>
      <c r="O401" s="15"/>
      <c r="P401" s="15"/>
      <c r="Q401" s="11"/>
      <c r="R401" s="11"/>
      <c r="S401" s="11"/>
      <c r="T401" s="11"/>
      <c r="U401" s="15"/>
      <c r="V401" s="11"/>
      <c r="W401" s="11"/>
      <c r="X401" s="11"/>
      <c r="Y401" s="11"/>
      <c r="Z401" s="11"/>
    </row>
    <row r="402">
      <c r="A402" s="18"/>
      <c r="B402" s="11"/>
      <c r="C402" s="11"/>
      <c r="D402" s="11"/>
      <c r="E402" s="11"/>
      <c r="F402" s="11"/>
      <c r="G402" s="11"/>
      <c r="H402" s="11"/>
      <c r="I402" s="11"/>
      <c r="J402" s="11"/>
      <c r="K402" s="11"/>
      <c r="L402" s="15"/>
      <c r="M402" s="15"/>
      <c r="N402" s="15"/>
      <c r="O402" s="15"/>
      <c r="P402" s="15"/>
      <c r="Q402" s="11"/>
      <c r="R402" s="11"/>
      <c r="S402" s="11"/>
      <c r="T402" s="11"/>
      <c r="U402" s="15"/>
      <c r="V402" s="11"/>
      <c r="W402" s="11"/>
      <c r="X402" s="11"/>
      <c r="Y402" s="11"/>
      <c r="Z402" s="11"/>
    </row>
    <row r="403">
      <c r="A403" s="18"/>
      <c r="B403" s="11"/>
      <c r="C403" s="11"/>
      <c r="D403" s="11"/>
      <c r="E403" s="11"/>
      <c r="F403" s="11"/>
      <c r="G403" s="11"/>
      <c r="H403" s="11"/>
      <c r="I403" s="11"/>
      <c r="J403" s="11"/>
      <c r="K403" s="11"/>
      <c r="L403" s="15"/>
      <c r="M403" s="15"/>
      <c r="N403" s="15"/>
      <c r="O403" s="15"/>
      <c r="P403" s="15"/>
      <c r="Q403" s="11"/>
      <c r="R403" s="11"/>
      <c r="S403" s="11"/>
      <c r="T403" s="11"/>
      <c r="U403" s="15"/>
      <c r="V403" s="11"/>
      <c r="W403" s="11"/>
      <c r="X403" s="11"/>
      <c r="Y403" s="11"/>
      <c r="Z403" s="11"/>
    </row>
    <row r="404">
      <c r="A404" s="18"/>
      <c r="B404" s="11"/>
      <c r="C404" s="11"/>
      <c r="D404" s="11"/>
      <c r="E404" s="11"/>
      <c r="F404" s="11"/>
      <c r="G404" s="11"/>
      <c r="H404" s="11"/>
      <c r="I404" s="11"/>
      <c r="J404" s="11"/>
      <c r="K404" s="11"/>
      <c r="L404" s="15"/>
      <c r="M404" s="15"/>
      <c r="N404" s="15"/>
      <c r="O404" s="15"/>
      <c r="P404" s="15"/>
      <c r="Q404" s="11"/>
      <c r="R404" s="11"/>
      <c r="S404" s="11"/>
      <c r="T404" s="11"/>
      <c r="U404" s="15"/>
      <c r="V404" s="11"/>
      <c r="W404" s="11"/>
      <c r="X404" s="11"/>
      <c r="Y404" s="11"/>
      <c r="Z404" s="11"/>
    </row>
    <row r="405">
      <c r="A405" s="18"/>
      <c r="B405" s="11"/>
      <c r="C405" s="11"/>
      <c r="D405" s="11"/>
      <c r="E405" s="11"/>
      <c r="F405" s="11"/>
      <c r="G405" s="11"/>
      <c r="H405" s="11"/>
      <c r="I405" s="11"/>
      <c r="J405" s="11"/>
      <c r="K405" s="11"/>
      <c r="L405" s="15"/>
      <c r="M405" s="15"/>
      <c r="N405" s="15"/>
      <c r="O405" s="15"/>
      <c r="P405" s="15"/>
      <c r="Q405" s="11"/>
      <c r="R405" s="11"/>
      <c r="S405" s="11"/>
      <c r="T405" s="11"/>
      <c r="U405" s="15"/>
      <c r="V405" s="11"/>
      <c r="W405" s="11"/>
      <c r="X405" s="11"/>
      <c r="Y405" s="11"/>
      <c r="Z405" s="11"/>
    </row>
    <row r="406">
      <c r="A406" s="18"/>
      <c r="B406" s="11"/>
      <c r="C406" s="11"/>
      <c r="D406" s="11"/>
      <c r="E406" s="11"/>
      <c r="F406" s="11"/>
      <c r="G406" s="11"/>
      <c r="H406" s="11"/>
      <c r="I406" s="11"/>
      <c r="J406" s="11"/>
      <c r="K406" s="11"/>
      <c r="L406" s="15"/>
      <c r="M406" s="15"/>
      <c r="N406" s="15"/>
      <c r="O406" s="15"/>
      <c r="P406" s="15"/>
      <c r="Q406" s="11"/>
      <c r="R406" s="11"/>
      <c r="S406" s="11"/>
      <c r="T406" s="11"/>
      <c r="U406" s="15"/>
      <c r="V406" s="11"/>
      <c r="W406" s="11"/>
      <c r="X406" s="11"/>
      <c r="Y406" s="11"/>
      <c r="Z406" s="11"/>
    </row>
    <row r="407">
      <c r="A407" s="18"/>
      <c r="B407" s="11"/>
      <c r="C407" s="11"/>
      <c r="D407" s="11"/>
      <c r="E407" s="11"/>
      <c r="F407" s="11"/>
      <c r="G407" s="11"/>
      <c r="H407" s="11"/>
      <c r="I407" s="11"/>
      <c r="J407" s="11"/>
      <c r="K407" s="11"/>
      <c r="L407" s="15"/>
      <c r="M407" s="15"/>
      <c r="N407" s="15"/>
      <c r="O407" s="15"/>
      <c r="P407" s="15"/>
      <c r="Q407" s="11"/>
      <c r="R407" s="11"/>
      <c r="S407" s="11"/>
      <c r="T407" s="11"/>
      <c r="U407" s="15"/>
      <c r="V407" s="11"/>
      <c r="W407" s="11"/>
      <c r="X407" s="11"/>
      <c r="Y407" s="11"/>
      <c r="Z407" s="11"/>
    </row>
    <row r="408">
      <c r="A408" s="18"/>
      <c r="B408" s="11"/>
      <c r="C408" s="11"/>
      <c r="D408" s="11"/>
      <c r="E408" s="11"/>
      <c r="F408" s="11"/>
      <c r="G408" s="11"/>
      <c r="H408" s="11"/>
      <c r="I408" s="11"/>
      <c r="J408" s="11"/>
      <c r="K408" s="11"/>
      <c r="L408" s="15"/>
      <c r="M408" s="15"/>
      <c r="N408" s="15"/>
      <c r="O408" s="15"/>
      <c r="P408" s="15"/>
      <c r="Q408" s="11"/>
      <c r="R408" s="11"/>
      <c r="S408" s="11"/>
      <c r="T408" s="11"/>
      <c r="U408" s="15"/>
      <c r="V408" s="11"/>
      <c r="W408" s="11"/>
      <c r="X408" s="11"/>
      <c r="Y408" s="11"/>
      <c r="Z408" s="11"/>
    </row>
    <row r="409">
      <c r="A409" s="18"/>
      <c r="B409" s="11"/>
      <c r="C409" s="11"/>
      <c r="D409" s="11"/>
      <c r="E409" s="11"/>
      <c r="F409" s="11"/>
      <c r="G409" s="11"/>
      <c r="H409" s="11"/>
      <c r="I409" s="11"/>
      <c r="J409" s="11"/>
      <c r="K409" s="11"/>
      <c r="L409" s="15"/>
      <c r="M409" s="15"/>
      <c r="N409" s="15"/>
      <c r="O409" s="15"/>
      <c r="P409" s="15"/>
      <c r="Q409" s="11"/>
      <c r="R409" s="11"/>
      <c r="S409" s="11"/>
      <c r="T409" s="11"/>
      <c r="U409" s="15"/>
      <c r="V409" s="11"/>
      <c r="W409" s="11"/>
      <c r="X409" s="11"/>
      <c r="Y409" s="11"/>
      <c r="Z409" s="11"/>
    </row>
    <row r="410">
      <c r="A410" s="18"/>
      <c r="B410" s="11"/>
      <c r="C410" s="11"/>
      <c r="D410" s="11"/>
      <c r="E410" s="11"/>
      <c r="F410" s="11"/>
      <c r="G410" s="11"/>
      <c r="H410" s="11"/>
      <c r="I410" s="11"/>
      <c r="J410" s="11"/>
      <c r="K410" s="11"/>
      <c r="L410" s="15"/>
      <c r="M410" s="15"/>
      <c r="N410" s="15"/>
      <c r="O410" s="15"/>
      <c r="P410" s="15"/>
      <c r="Q410" s="11"/>
      <c r="R410" s="11"/>
      <c r="S410" s="11"/>
      <c r="T410" s="11"/>
      <c r="U410" s="15"/>
      <c r="V410" s="11"/>
      <c r="W410" s="11"/>
      <c r="X410" s="11"/>
      <c r="Y410" s="11"/>
      <c r="Z410" s="11"/>
    </row>
    <row r="411">
      <c r="A411" s="18"/>
      <c r="B411" s="11"/>
      <c r="C411" s="11"/>
      <c r="D411" s="11"/>
      <c r="E411" s="11"/>
      <c r="F411" s="11"/>
      <c r="G411" s="11"/>
      <c r="H411" s="11"/>
      <c r="I411" s="11"/>
      <c r="J411" s="11"/>
      <c r="K411" s="11"/>
      <c r="L411" s="15"/>
      <c r="M411" s="15"/>
      <c r="N411" s="15"/>
      <c r="O411" s="15"/>
      <c r="P411" s="15"/>
      <c r="Q411" s="11"/>
      <c r="R411" s="11"/>
      <c r="S411" s="11"/>
      <c r="T411" s="11"/>
      <c r="U411" s="15"/>
      <c r="V411" s="11"/>
      <c r="W411" s="11"/>
      <c r="X411" s="11"/>
      <c r="Y411" s="11"/>
      <c r="Z411" s="11"/>
    </row>
    <row r="412">
      <c r="A412" s="18"/>
      <c r="B412" s="11"/>
      <c r="C412" s="11"/>
      <c r="D412" s="11"/>
      <c r="E412" s="11"/>
      <c r="F412" s="11"/>
      <c r="G412" s="11"/>
      <c r="H412" s="11"/>
      <c r="I412" s="11"/>
      <c r="J412" s="11"/>
      <c r="K412" s="11"/>
      <c r="L412" s="15"/>
      <c r="M412" s="15"/>
      <c r="N412" s="15"/>
      <c r="O412" s="15"/>
      <c r="P412" s="15"/>
      <c r="Q412" s="11"/>
      <c r="R412" s="11"/>
      <c r="S412" s="11"/>
      <c r="T412" s="11"/>
      <c r="U412" s="15"/>
      <c r="V412" s="11"/>
      <c r="W412" s="11"/>
      <c r="X412" s="11"/>
      <c r="Y412" s="11"/>
      <c r="Z412" s="11"/>
    </row>
    <row r="413">
      <c r="A413" s="18"/>
      <c r="B413" s="11"/>
      <c r="C413" s="11"/>
      <c r="D413" s="11"/>
      <c r="E413" s="11"/>
      <c r="F413" s="11"/>
      <c r="G413" s="11"/>
      <c r="H413" s="11"/>
      <c r="I413" s="11"/>
      <c r="J413" s="11"/>
      <c r="K413" s="11"/>
      <c r="L413" s="15"/>
      <c r="M413" s="15"/>
      <c r="N413" s="15"/>
      <c r="O413" s="15"/>
      <c r="P413" s="15"/>
      <c r="Q413" s="11"/>
      <c r="R413" s="11"/>
      <c r="S413" s="11"/>
      <c r="T413" s="11"/>
      <c r="U413" s="15"/>
      <c r="V413" s="11"/>
      <c r="W413" s="11"/>
      <c r="X413" s="11"/>
      <c r="Y413" s="11"/>
      <c r="Z413" s="11"/>
    </row>
    <row r="414">
      <c r="A414" s="18"/>
      <c r="B414" s="11"/>
      <c r="C414" s="11"/>
      <c r="D414" s="11"/>
      <c r="E414" s="11"/>
      <c r="F414" s="11"/>
      <c r="G414" s="11"/>
      <c r="H414" s="11"/>
      <c r="I414" s="11"/>
      <c r="J414" s="11"/>
      <c r="K414" s="11"/>
      <c r="L414" s="15"/>
      <c r="M414" s="15"/>
      <c r="N414" s="15"/>
      <c r="O414" s="15"/>
      <c r="P414" s="15"/>
      <c r="Q414" s="11"/>
      <c r="R414" s="11"/>
      <c r="S414" s="11"/>
      <c r="T414" s="11"/>
      <c r="U414" s="15"/>
      <c r="V414" s="11"/>
      <c r="W414" s="11"/>
      <c r="X414" s="11"/>
      <c r="Y414" s="11"/>
      <c r="Z414" s="11"/>
    </row>
    <row r="415">
      <c r="A415" s="18"/>
      <c r="B415" s="11"/>
      <c r="C415" s="11"/>
      <c r="D415" s="11"/>
      <c r="E415" s="11"/>
      <c r="F415" s="11"/>
      <c r="G415" s="11"/>
      <c r="H415" s="11"/>
      <c r="I415" s="11"/>
      <c r="J415" s="11"/>
      <c r="K415" s="11"/>
      <c r="L415" s="15"/>
      <c r="M415" s="15"/>
      <c r="N415" s="15"/>
      <c r="O415" s="15"/>
      <c r="P415" s="15"/>
      <c r="Q415" s="11"/>
      <c r="R415" s="11"/>
      <c r="S415" s="11"/>
      <c r="T415" s="11"/>
      <c r="U415" s="15"/>
      <c r="V415" s="11"/>
      <c r="W415" s="11"/>
      <c r="X415" s="11"/>
      <c r="Y415" s="11"/>
      <c r="Z415" s="11"/>
    </row>
    <row r="416">
      <c r="A416" s="18"/>
      <c r="B416" s="11"/>
      <c r="C416" s="11"/>
      <c r="D416" s="11"/>
      <c r="E416" s="11"/>
      <c r="F416" s="11"/>
      <c r="G416" s="11"/>
      <c r="H416" s="11"/>
      <c r="I416" s="11"/>
      <c r="J416" s="11"/>
      <c r="K416" s="11"/>
      <c r="L416" s="15"/>
      <c r="M416" s="15"/>
      <c r="N416" s="15"/>
      <c r="O416" s="15"/>
      <c r="P416" s="15"/>
      <c r="Q416" s="11"/>
      <c r="R416" s="11"/>
      <c r="S416" s="11"/>
      <c r="T416" s="11"/>
      <c r="U416" s="15"/>
      <c r="V416" s="11"/>
      <c r="W416" s="11"/>
      <c r="X416" s="11"/>
      <c r="Y416" s="11"/>
      <c r="Z416" s="11"/>
    </row>
    <row r="417">
      <c r="A417" s="18"/>
      <c r="B417" s="11"/>
      <c r="C417" s="11"/>
      <c r="D417" s="11"/>
      <c r="E417" s="11"/>
      <c r="F417" s="11"/>
      <c r="G417" s="11"/>
      <c r="H417" s="11"/>
      <c r="I417" s="11"/>
      <c r="J417" s="11"/>
      <c r="K417" s="11"/>
      <c r="L417" s="15"/>
      <c r="M417" s="15"/>
      <c r="N417" s="15"/>
      <c r="O417" s="15"/>
      <c r="P417" s="15"/>
      <c r="Q417" s="11"/>
      <c r="R417" s="11"/>
      <c r="S417" s="11"/>
      <c r="T417" s="11"/>
      <c r="U417" s="15"/>
      <c r="V417" s="11"/>
      <c r="W417" s="11"/>
      <c r="X417" s="11"/>
      <c r="Y417" s="11"/>
      <c r="Z417" s="11"/>
    </row>
    <row r="418">
      <c r="A418" s="18"/>
      <c r="B418" s="11"/>
      <c r="C418" s="11"/>
      <c r="D418" s="11"/>
      <c r="E418" s="11"/>
      <c r="F418" s="11"/>
      <c r="G418" s="11"/>
      <c r="H418" s="11"/>
      <c r="I418" s="11"/>
      <c r="J418" s="11"/>
      <c r="K418" s="11"/>
      <c r="L418" s="15"/>
      <c r="M418" s="15"/>
      <c r="N418" s="15"/>
      <c r="O418" s="15"/>
      <c r="P418" s="15"/>
      <c r="Q418" s="11"/>
      <c r="R418" s="11"/>
      <c r="S418" s="11"/>
      <c r="T418" s="11"/>
      <c r="U418" s="15"/>
      <c r="V418" s="11"/>
      <c r="W418" s="11"/>
      <c r="X418" s="11"/>
      <c r="Y418" s="11"/>
      <c r="Z418" s="11"/>
    </row>
    <row r="419">
      <c r="A419" s="18"/>
      <c r="B419" s="11"/>
      <c r="C419" s="11"/>
      <c r="D419" s="11"/>
      <c r="E419" s="11"/>
      <c r="F419" s="11"/>
      <c r="G419" s="11"/>
      <c r="H419" s="11"/>
      <c r="I419" s="11"/>
      <c r="J419" s="11"/>
      <c r="K419" s="11"/>
      <c r="L419" s="15"/>
      <c r="M419" s="15"/>
      <c r="N419" s="15"/>
      <c r="O419" s="15"/>
      <c r="P419" s="15"/>
      <c r="Q419" s="11"/>
      <c r="R419" s="11"/>
      <c r="S419" s="11"/>
      <c r="T419" s="11"/>
      <c r="U419" s="15"/>
      <c r="V419" s="11"/>
      <c r="W419" s="11"/>
      <c r="X419" s="11"/>
      <c r="Y419" s="11"/>
      <c r="Z419" s="11"/>
    </row>
    <row r="420">
      <c r="A420" s="18"/>
      <c r="B420" s="11"/>
      <c r="C420" s="11"/>
      <c r="D420" s="11"/>
      <c r="E420" s="11"/>
      <c r="F420" s="11"/>
      <c r="G420" s="11"/>
      <c r="H420" s="11"/>
      <c r="I420" s="11"/>
      <c r="J420" s="11"/>
      <c r="K420" s="11"/>
      <c r="L420" s="15"/>
      <c r="M420" s="15"/>
      <c r="N420" s="15"/>
      <c r="O420" s="15"/>
      <c r="P420" s="15"/>
      <c r="Q420" s="11"/>
      <c r="R420" s="11"/>
      <c r="S420" s="11"/>
      <c r="T420" s="11"/>
      <c r="U420" s="15"/>
      <c r="V420" s="11"/>
      <c r="W420" s="11"/>
      <c r="X420" s="11"/>
      <c r="Y420" s="11"/>
      <c r="Z420" s="11"/>
    </row>
    <row r="421">
      <c r="A421" s="18"/>
      <c r="B421" s="11"/>
      <c r="C421" s="11"/>
      <c r="D421" s="11"/>
      <c r="E421" s="11"/>
      <c r="F421" s="11"/>
      <c r="G421" s="11"/>
      <c r="H421" s="11"/>
      <c r="I421" s="11"/>
      <c r="J421" s="11"/>
      <c r="K421" s="11"/>
      <c r="L421" s="15"/>
      <c r="M421" s="15"/>
      <c r="N421" s="15"/>
      <c r="O421" s="15"/>
      <c r="P421" s="15"/>
      <c r="Q421" s="11"/>
      <c r="R421" s="11"/>
      <c r="S421" s="11"/>
      <c r="T421" s="11"/>
      <c r="U421" s="15"/>
      <c r="V421" s="11"/>
      <c r="W421" s="11"/>
      <c r="X421" s="11"/>
      <c r="Y421" s="11"/>
      <c r="Z421" s="11"/>
    </row>
    <row r="422">
      <c r="A422" s="18"/>
      <c r="B422" s="11"/>
      <c r="C422" s="11"/>
      <c r="D422" s="11"/>
      <c r="E422" s="11"/>
      <c r="F422" s="11"/>
      <c r="G422" s="11"/>
      <c r="H422" s="11"/>
      <c r="I422" s="11"/>
      <c r="J422" s="11"/>
      <c r="K422" s="11"/>
      <c r="L422" s="15"/>
      <c r="M422" s="15"/>
      <c r="N422" s="15"/>
      <c r="O422" s="15"/>
      <c r="P422" s="15"/>
      <c r="Q422" s="11"/>
      <c r="R422" s="11"/>
      <c r="S422" s="11"/>
      <c r="T422" s="11"/>
      <c r="U422" s="15"/>
      <c r="V422" s="11"/>
      <c r="W422" s="11"/>
      <c r="X422" s="11"/>
      <c r="Y422" s="11"/>
      <c r="Z422" s="11"/>
    </row>
    <row r="423">
      <c r="A423" s="18"/>
      <c r="B423" s="11"/>
      <c r="C423" s="11"/>
      <c r="D423" s="11"/>
      <c r="E423" s="11"/>
      <c r="F423" s="11"/>
      <c r="G423" s="11"/>
      <c r="H423" s="11"/>
      <c r="I423" s="11"/>
      <c r="J423" s="11"/>
      <c r="K423" s="11"/>
      <c r="L423" s="15"/>
      <c r="M423" s="15"/>
      <c r="N423" s="15"/>
      <c r="O423" s="15"/>
      <c r="P423" s="15"/>
      <c r="Q423" s="11"/>
      <c r="R423" s="11"/>
      <c r="S423" s="11"/>
      <c r="T423" s="11"/>
      <c r="U423" s="15"/>
      <c r="V423" s="11"/>
      <c r="W423" s="11"/>
      <c r="X423" s="11"/>
      <c r="Y423" s="11"/>
      <c r="Z423" s="11"/>
    </row>
    <row r="424">
      <c r="A424" s="18"/>
      <c r="B424" s="11"/>
      <c r="C424" s="11"/>
      <c r="D424" s="11"/>
      <c r="E424" s="11"/>
      <c r="F424" s="11"/>
      <c r="G424" s="11"/>
      <c r="H424" s="11"/>
      <c r="I424" s="11"/>
      <c r="J424" s="11"/>
      <c r="K424" s="11"/>
      <c r="L424" s="15"/>
      <c r="M424" s="15"/>
      <c r="N424" s="15"/>
      <c r="O424" s="15"/>
      <c r="P424" s="15"/>
      <c r="Q424" s="11"/>
      <c r="R424" s="11"/>
      <c r="S424" s="11"/>
      <c r="T424" s="11"/>
      <c r="U424" s="15"/>
      <c r="V424" s="11"/>
      <c r="W424" s="11"/>
      <c r="X424" s="11"/>
      <c r="Y424" s="11"/>
      <c r="Z424" s="11"/>
    </row>
    <row r="425">
      <c r="A425" s="18"/>
      <c r="B425" s="11"/>
      <c r="C425" s="11"/>
      <c r="D425" s="11"/>
      <c r="E425" s="11"/>
      <c r="F425" s="11"/>
      <c r="G425" s="11"/>
      <c r="H425" s="11"/>
      <c r="I425" s="11"/>
      <c r="J425" s="11"/>
      <c r="K425" s="11"/>
      <c r="L425" s="15"/>
      <c r="M425" s="15"/>
      <c r="N425" s="15"/>
      <c r="O425" s="15"/>
      <c r="P425" s="15"/>
      <c r="Q425" s="11"/>
      <c r="R425" s="11"/>
      <c r="S425" s="11"/>
      <c r="T425" s="11"/>
      <c r="U425" s="15"/>
      <c r="V425" s="11"/>
      <c r="W425" s="11"/>
      <c r="X425" s="11"/>
      <c r="Y425" s="11"/>
      <c r="Z425" s="11"/>
    </row>
    <row r="426">
      <c r="A426" s="18"/>
      <c r="B426" s="11"/>
      <c r="C426" s="11"/>
      <c r="D426" s="11"/>
      <c r="E426" s="11"/>
      <c r="F426" s="11"/>
      <c r="G426" s="11"/>
      <c r="H426" s="11"/>
      <c r="I426" s="11"/>
      <c r="J426" s="11"/>
      <c r="K426" s="11"/>
      <c r="L426" s="15"/>
      <c r="M426" s="15"/>
      <c r="N426" s="15"/>
      <c r="O426" s="15"/>
      <c r="P426" s="15"/>
      <c r="Q426" s="11"/>
      <c r="R426" s="11"/>
      <c r="S426" s="11"/>
      <c r="T426" s="11"/>
      <c r="U426" s="15"/>
      <c r="V426" s="11"/>
      <c r="W426" s="11"/>
      <c r="X426" s="11"/>
      <c r="Y426" s="11"/>
      <c r="Z426" s="11"/>
    </row>
    <row r="427">
      <c r="A427" s="18"/>
      <c r="B427" s="11"/>
      <c r="C427" s="11"/>
      <c r="D427" s="11"/>
      <c r="E427" s="11"/>
      <c r="F427" s="11"/>
      <c r="G427" s="11"/>
      <c r="H427" s="11"/>
      <c r="I427" s="11"/>
      <c r="J427" s="11"/>
      <c r="K427" s="11"/>
      <c r="L427" s="15"/>
      <c r="M427" s="15"/>
      <c r="N427" s="15"/>
      <c r="O427" s="15"/>
      <c r="P427" s="15"/>
      <c r="Q427" s="11"/>
      <c r="R427" s="11"/>
      <c r="S427" s="11"/>
      <c r="T427" s="11"/>
      <c r="U427" s="15"/>
      <c r="V427" s="11"/>
      <c r="W427" s="11"/>
      <c r="X427" s="11"/>
      <c r="Y427" s="11"/>
      <c r="Z427" s="11"/>
    </row>
    <row r="428">
      <c r="A428" s="18"/>
      <c r="B428" s="11"/>
      <c r="C428" s="11"/>
      <c r="D428" s="11"/>
      <c r="E428" s="11"/>
      <c r="F428" s="11"/>
      <c r="G428" s="11"/>
      <c r="H428" s="11"/>
      <c r="I428" s="11"/>
      <c r="J428" s="11"/>
      <c r="K428" s="11"/>
      <c r="L428" s="15"/>
      <c r="M428" s="15"/>
      <c r="N428" s="15"/>
      <c r="O428" s="15"/>
      <c r="P428" s="15"/>
      <c r="Q428" s="11"/>
      <c r="R428" s="11"/>
      <c r="S428" s="11"/>
      <c r="T428" s="11"/>
      <c r="U428" s="15"/>
      <c r="V428" s="11"/>
      <c r="W428" s="11"/>
      <c r="X428" s="11"/>
      <c r="Y428" s="11"/>
      <c r="Z428" s="11"/>
    </row>
    <row r="429">
      <c r="A429" s="18"/>
      <c r="B429" s="11"/>
      <c r="C429" s="11"/>
      <c r="D429" s="11"/>
      <c r="E429" s="11"/>
      <c r="F429" s="11"/>
      <c r="G429" s="11"/>
      <c r="H429" s="11"/>
      <c r="I429" s="11"/>
      <c r="J429" s="11"/>
      <c r="K429" s="11"/>
      <c r="L429" s="15"/>
      <c r="M429" s="15"/>
      <c r="N429" s="15"/>
      <c r="O429" s="15"/>
      <c r="P429" s="15"/>
      <c r="Q429" s="11"/>
      <c r="R429" s="11"/>
      <c r="S429" s="11"/>
      <c r="T429" s="11"/>
      <c r="U429" s="15"/>
      <c r="V429" s="11"/>
      <c r="W429" s="11"/>
      <c r="X429" s="11"/>
      <c r="Y429" s="11"/>
      <c r="Z429" s="11"/>
    </row>
    <row r="430">
      <c r="A430" s="18"/>
      <c r="B430" s="11"/>
      <c r="C430" s="11"/>
      <c r="D430" s="11"/>
      <c r="E430" s="11"/>
      <c r="F430" s="11"/>
      <c r="G430" s="11"/>
      <c r="H430" s="11"/>
      <c r="I430" s="11"/>
      <c r="J430" s="11"/>
      <c r="K430" s="11"/>
      <c r="L430" s="15"/>
      <c r="M430" s="15"/>
      <c r="N430" s="15"/>
      <c r="O430" s="15"/>
      <c r="P430" s="15"/>
      <c r="Q430" s="11"/>
      <c r="R430" s="11"/>
      <c r="S430" s="11"/>
      <c r="T430" s="11"/>
      <c r="U430" s="15"/>
      <c r="V430" s="11"/>
      <c r="W430" s="11"/>
      <c r="X430" s="11"/>
      <c r="Y430" s="11"/>
      <c r="Z430" s="11"/>
    </row>
    <row r="431">
      <c r="A431" s="18"/>
      <c r="B431" s="11"/>
      <c r="C431" s="11"/>
      <c r="D431" s="11"/>
      <c r="E431" s="11"/>
      <c r="F431" s="11"/>
      <c r="G431" s="11"/>
      <c r="H431" s="11"/>
      <c r="I431" s="11"/>
      <c r="J431" s="11"/>
      <c r="K431" s="11"/>
      <c r="L431" s="15"/>
      <c r="M431" s="15"/>
      <c r="N431" s="15"/>
      <c r="O431" s="15"/>
      <c r="P431" s="15"/>
      <c r="Q431" s="11"/>
      <c r="R431" s="11"/>
      <c r="S431" s="11"/>
      <c r="T431" s="11"/>
      <c r="U431" s="15"/>
      <c r="V431" s="11"/>
      <c r="W431" s="11"/>
      <c r="X431" s="11"/>
      <c r="Y431" s="11"/>
      <c r="Z431" s="11"/>
    </row>
    <row r="432">
      <c r="A432" s="18"/>
      <c r="B432" s="11"/>
      <c r="C432" s="11"/>
      <c r="D432" s="11"/>
      <c r="E432" s="11"/>
      <c r="F432" s="11"/>
      <c r="G432" s="11"/>
      <c r="H432" s="11"/>
      <c r="I432" s="11"/>
      <c r="J432" s="11"/>
      <c r="K432" s="11"/>
      <c r="L432" s="15"/>
      <c r="M432" s="15"/>
      <c r="N432" s="15"/>
      <c r="O432" s="15"/>
      <c r="P432" s="15"/>
      <c r="Q432" s="11"/>
      <c r="R432" s="11"/>
      <c r="S432" s="11"/>
      <c r="T432" s="11"/>
      <c r="U432" s="15"/>
      <c r="V432" s="11"/>
      <c r="W432" s="11"/>
      <c r="X432" s="11"/>
      <c r="Y432" s="11"/>
      <c r="Z432" s="11"/>
    </row>
    <row r="433">
      <c r="A433" s="18"/>
      <c r="B433" s="11"/>
      <c r="C433" s="11"/>
      <c r="D433" s="11"/>
      <c r="E433" s="11"/>
      <c r="F433" s="11"/>
      <c r="G433" s="11"/>
      <c r="H433" s="11"/>
      <c r="I433" s="11"/>
      <c r="J433" s="11"/>
      <c r="K433" s="11"/>
      <c r="L433" s="15"/>
      <c r="M433" s="15"/>
      <c r="N433" s="15"/>
      <c r="O433" s="15"/>
      <c r="P433" s="15"/>
      <c r="Q433" s="11"/>
      <c r="R433" s="11"/>
      <c r="S433" s="11"/>
      <c r="T433" s="11"/>
      <c r="U433" s="15"/>
      <c r="V433" s="11"/>
      <c r="W433" s="11"/>
      <c r="X433" s="11"/>
      <c r="Y433" s="11"/>
      <c r="Z433" s="11"/>
    </row>
    <row r="434">
      <c r="A434" s="18"/>
      <c r="B434" s="11"/>
      <c r="C434" s="11"/>
      <c r="D434" s="11"/>
      <c r="E434" s="11"/>
      <c r="F434" s="11"/>
      <c r="G434" s="11"/>
      <c r="H434" s="11"/>
      <c r="I434" s="11"/>
      <c r="J434" s="11"/>
      <c r="K434" s="11"/>
      <c r="L434" s="15"/>
      <c r="M434" s="15"/>
      <c r="N434" s="15"/>
      <c r="O434" s="15"/>
      <c r="P434" s="15"/>
      <c r="Q434" s="11"/>
      <c r="R434" s="11"/>
      <c r="S434" s="11"/>
      <c r="T434" s="11"/>
      <c r="U434" s="15"/>
      <c r="V434" s="11"/>
      <c r="W434" s="11"/>
      <c r="X434" s="11"/>
      <c r="Y434" s="11"/>
      <c r="Z434" s="11"/>
    </row>
    <row r="435">
      <c r="A435" s="18"/>
      <c r="B435" s="11"/>
      <c r="C435" s="11"/>
      <c r="D435" s="11"/>
      <c r="E435" s="11"/>
      <c r="F435" s="11"/>
      <c r="G435" s="11"/>
      <c r="H435" s="11"/>
      <c r="I435" s="11"/>
      <c r="J435" s="11"/>
      <c r="K435" s="11"/>
      <c r="L435" s="15"/>
      <c r="M435" s="15"/>
      <c r="N435" s="15"/>
      <c r="O435" s="15"/>
      <c r="P435" s="15"/>
      <c r="Q435" s="11"/>
      <c r="R435" s="11"/>
      <c r="S435" s="11"/>
      <c r="T435" s="11"/>
      <c r="U435" s="15"/>
      <c r="V435" s="11"/>
      <c r="W435" s="11"/>
      <c r="X435" s="11"/>
      <c r="Y435" s="11"/>
      <c r="Z435" s="11"/>
    </row>
    <row r="436">
      <c r="A436" s="18"/>
      <c r="B436" s="11"/>
      <c r="C436" s="11"/>
      <c r="D436" s="11"/>
      <c r="E436" s="11"/>
      <c r="F436" s="11"/>
      <c r="G436" s="11"/>
      <c r="H436" s="11"/>
      <c r="I436" s="11"/>
      <c r="J436" s="11"/>
      <c r="K436" s="11"/>
      <c r="L436" s="15"/>
      <c r="M436" s="15"/>
      <c r="N436" s="15"/>
      <c r="O436" s="15"/>
      <c r="P436" s="15"/>
      <c r="Q436" s="11"/>
      <c r="R436" s="11"/>
      <c r="S436" s="11"/>
      <c r="T436" s="11"/>
      <c r="U436" s="15"/>
      <c r="V436" s="11"/>
      <c r="W436" s="11"/>
      <c r="X436" s="11"/>
      <c r="Y436" s="11"/>
      <c r="Z436" s="11"/>
    </row>
    <row r="437">
      <c r="A437" s="18"/>
      <c r="B437" s="11"/>
      <c r="C437" s="11"/>
      <c r="D437" s="11"/>
      <c r="E437" s="11"/>
      <c r="F437" s="11"/>
      <c r="G437" s="11"/>
      <c r="H437" s="11"/>
      <c r="I437" s="11"/>
      <c r="J437" s="11"/>
      <c r="K437" s="11"/>
      <c r="L437" s="15"/>
      <c r="M437" s="15"/>
      <c r="N437" s="15"/>
      <c r="O437" s="15"/>
      <c r="P437" s="15"/>
      <c r="Q437" s="11"/>
      <c r="R437" s="11"/>
      <c r="S437" s="11"/>
      <c r="T437" s="11"/>
      <c r="U437" s="15"/>
      <c r="V437" s="11"/>
      <c r="W437" s="11"/>
      <c r="X437" s="11"/>
      <c r="Y437" s="11"/>
      <c r="Z437" s="11"/>
    </row>
    <row r="438">
      <c r="A438" s="18"/>
      <c r="B438" s="11"/>
      <c r="C438" s="11"/>
      <c r="D438" s="11"/>
      <c r="E438" s="11"/>
      <c r="F438" s="11"/>
      <c r="G438" s="11"/>
      <c r="H438" s="11"/>
      <c r="I438" s="11"/>
      <c r="J438" s="11"/>
      <c r="K438" s="11"/>
      <c r="L438" s="15"/>
      <c r="M438" s="15"/>
      <c r="N438" s="15"/>
      <c r="O438" s="15"/>
      <c r="P438" s="15"/>
      <c r="Q438" s="11"/>
      <c r="R438" s="11"/>
      <c r="S438" s="11"/>
      <c r="T438" s="11"/>
      <c r="U438" s="15"/>
      <c r="V438" s="11"/>
      <c r="W438" s="11"/>
      <c r="X438" s="11"/>
      <c r="Y438" s="11"/>
      <c r="Z438" s="11"/>
    </row>
    <row r="439">
      <c r="A439" s="18"/>
      <c r="B439" s="11"/>
      <c r="C439" s="11"/>
      <c r="D439" s="11"/>
      <c r="E439" s="11"/>
      <c r="F439" s="11"/>
      <c r="G439" s="11"/>
      <c r="H439" s="11"/>
      <c r="I439" s="11"/>
      <c r="J439" s="11"/>
      <c r="K439" s="11"/>
      <c r="L439" s="15"/>
      <c r="M439" s="15"/>
      <c r="N439" s="15"/>
      <c r="O439" s="15"/>
      <c r="P439" s="15"/>
      <c r="Q439" s="11"/>
      <c r="R439" s="11"/>
      <c r="S439" s="11"/>
      <c r="T439" s="11"/>
      <c r="U439" s="15"/>
      <c r="V439" s="11"/>
      <c r="W439" s="11"/>
      <c r="X439" s="11"/>
      <c r="Y439" s="11"/>
      <c r="Z439" s="11"/>
    </row>
    <row r="440">
      <c r="A440" s="18"/>
      <c r="B440" s="11"/>
      <c r="C440" s="11"/>
      <c r="D440" s="11"/>
      <c r="E440" s="11"/>
      <c r="F440" s="11"/>
      <c r="G440" s="11"/>
      <c r="H440" s="11"/>
      <c r="I440" s="11"/>
      <c r="J440" s="11"/>
      <c r="K440" s="11"/>
      <c r="L440" s="15"/>
      <c r="M440" s="15"/>
      <c r="N440" s="15"/>
      <c r="O440" s="15"/>
      <c r="P440" s="15"/>
      <c r="Q440" s="11"/>
      <c r="R440" s="11"/>
      <c r="S440" s="11"/>
      <c r="T440" s="11"/>
      <c r="U440" s="15"/>
      <c r="V440" s="11"/>
      <c r="W440" s="11"/>
      <c r="X440" s="11"/>
      <c r="Y440" s="11"/>
      <c r="Z440" s="11"/>
    </row>
    <row r="441">
      <c r="A441" s="18"/>
      <c r="B441" s="11"/>
      <c r="C441" s="11"/>
      <c r="D441" s="11"/>
      <c r="E441" s="11"/>
      <c r="F441" s="11"/>
      <c r="G441" s="11"/>
      <c r="H441" s="11"/>
      <c r="I441" s="11"/>
      <c r="J441" s="11"/>
      <c r="K441" s="11"/>
      <c r="L441" s="15"/>
      <c r="M441" s="15"/>
      <c r="N441" s="15"/>
      <c r="O441" s="15"/>
      <c r="P441" s="15"/>
      <c r="Q441" s="11"/>
      <c r="R441" s="11"/>
      <c r="S441" s="11"/>
      <c r="T441" s="11"/>
      <c r="U441" s="15"/>
      <c r="V441" s="11"/>
      <c r="W441" s="11"/>
      <c r="X441" s="11"/>
      <c r="Y441" s="11"/>
      <c r="Z441" s="11"/>
    </row>
    <row r="442">
      <c r="A442" s="18"/>
      <c r="B442" s="11"/>
      <c r="C442" s="11"/>
      <c r="D442" s="11"/>
      <c r="E442" s="11"/>
      <c r="F442" s="11"/>
      <c r="G442" s="11"/>
      <c r="H442" s="11"/>
      <c r="I442" s="11"/>
      <c r="J442" s="11"/>
      <c r="K442" s="11"/>
      <c r="L442" s="15"/>
      <c r="M442" s="15"/>
      <c r="N442" s="15"/>
      <c r="O442" s="15"/>
      <c r="P442" s="15"/>
      <c r="Q442" s="11"/>
      <c r="R442" s="11"/>
      <c r="S442" s="11"/>
      <c r="T442" s="11"/>
      <c r="U442" s="15"/>
      <c r="V442" s="11"/>
      <c r="W442" s="11"/>
      <c r="X442" s="11"/>
      <c r="Y442" s="11"/>
      <c r="Z442" s="11"/>
    </row>
    <row r="443">
      <c r="A443" s="18"/>
      <c r="B443" s="11"/>
      <c r="C443" s="11"/>
      <c r="D443" s="11"/>
      <c r="E443" s="11"/>
      <c r="F443" s="11"/>
      <c r="G443" s="11"/>
      <c r="H443" s="11"/>
      <c r="I443" s="11"/>
      <c r="J443" s="11"/>
      <c r="K443" s="11"/>
      <c r="L443" s="15"/>
      <c r="M443" s="15"/>
      <c r="N443" s="15"/>
      <c r="O443" s="15"/>
      <c r="P443" s="15"/>
      <c r="Q443" s="11"/>
      <c r="R443" s="11"/>
      <c r="S443" s="11"/>
      <c r="T443" s="11"/>
      <c r="U443" s="15"/>
      <c r="V443" s="11"/>
      <c r="W443" s="11"/>
      <c r="X443" s="11"/>
      <c r="Y443" s="11"/>
      <c r="Z443" s="11"/>
    </row>
    <row r="444">
      <c r="A444" s="18"/>
      <c r="B444" s="11"/>
      <c r="C444" s="11"/>
      <c r="D444" s="11"/>
      <c r="E444" s="11"/>
      <c r="F444" s="11"/>
      <c r="G444" s="11"/>
      <c r="H444" s="11"/>
      <c r="I444" s="11"/>
      <c r="J444" s="11"/>
      <c r="K444" s="11"/>
      <c r="L444" s="15"/>
      <c r="M444" s="15"/>
      <c r="N444" s="15"/>
      <c r="O444" s="15"/>
      <c r="P444" s="15"/>
      <c r="Q444" s="11"/>
      <c r="R444" s="11"/>
      <c r="S444" s="11"/>
      <c r="T444" s="11"/>
      <c r="U444" s="15"/>
      <c r="V444" s="11"/>
      <c r="W444" s="11"/>
      <c r="X444" s="11"/>
      <c r="Y444" s="11"/>
      <c r="Z444" s="11"/>
    </row>
    <row r="445">
      <c r="A445" s="18"/>
      <c r="B445" s="11"/>
      <c r="C445" s="11"/>
      <c r="D445" s="11"/>
      <c r="E445" s="11"/>
      <c r="F445" s="11"/>
      <c r="G445" s="11"/>
      <c r="H445" s="11"/>
      <c r="I445" s="11"/>
      <c r="J445" s="11"/>
      <c r="K445" s="11"/>
      <c r="L445" s="15"/>
      <c r="M445" s="15"/>
      <c r="N445" s="15"/>
      <c r="O445" s="15"/>
      <c r="P445" s="15"/>
      <c r="Q445" s="11"/>
      <c r="R445" s="11"/>
      <c r="S445" s="11"/>
      <c r="T445" s="11"/>
      <c r="U445" s="15"/>
      <c r="V445" s="11"/>
      <c r="W445" s="11"/>
      <c r="X445" s="11"/>
      <c r="Y445" s="11"/>
      <c r="Z445" s="11"/>
    </row>
    <row r="446">
      <c r="A446" s="18"/>
      <c r="B446" s="11"/>
      <c r="C446" s="11"/>
      <c r="D446" s="11"/>
      <c r="E446" s="11"/>
      <c r="F446" s="11"/>
      <c r="G446" s="11"/>
      <c r="H446" s="11"/>
      <c r="I446" s="11"/>
      <c r="J446" s="11"/>
      <c r="K446" s="11"/>
      <c r="L446" s="15"/>
      <c r="M446" s="15"/>
      <c r="N446" s="15"/>
      <c r="O446" s="15"/>
      <c r="P446" s="15"/>
      <c r="Q446" s="11"/>
      <c r="R446" s="11"/>
      <c r="S446" s="11"/>
      <c r="T446" s="11"/>
      <c r="U446" s="15"/>
      <c r="V446" s="11"/>
      <c r="W446" s="11"/>
      <c r="X446" s="11"/>
      <c r="Y446" s="11"/>
      <c r="Z446" s="11"/>
    </row>
    <row r="447">
      <c r="A447" s="18"/>
      <c r="B447" s="11"/>
      <c r="C447" s="11"/>
      <c r="D447" s="11"/>
      <c r="E447" s="11"/>
      <c r="F447" s="11"/>
      <c r="G447" s="11"/>
      <c r="H447" s="11"/>
      <c r="I447" s="11"/>
      <c r="J447" s="11"/>
      <c r="K447" s="11"/>
      <c r="L447" s="15"/>
      <c r="M447" s="15"/>
      <c r="N447" s="15"/>
      <c r="O447" s="15"/>
      <c r="P447" s="15"/>
      <c r="Q447" s="11"/>
      <c r="R447" s="11"/>
      <c r="S447" s="11"/>
      <c r="T447" s="11"/>
      <c r="U447" s="15"/>
      <c r="V447" s="11"/>
      <c r="W447" s="11"/>
      <c r="X447" s="11"/>
      <c r="Y447" s="11"/>
      <c r="Z447" s="11"/>
    </row>
    <row r="448">
      <c r="A448" s="18"/>
      <c r="B448" s="11"/>
      <c r="C448" s="11"/>
      <c r="D448" s="11"/>
      <c r="E448" s="11"/>
      <c r="F448" s="11"/>
      <c r="G448" s="11"/>
      <c r="H448" s="11"/>
      <c r="I448" s="11"/>
      <c r="J448" s="11"/>
      <c r="K448" s="11"/>
      <c r="L448" s="15"/>
      <c r="M448" s="15"/>
      <c r="N448" s="15"/>
      <c r="O448" s="15"/>
      <c r="P448" s="15"/>
      <c r="Q448" s="11"/>
      <c r="R448" s="11"/>
      <c r="S448" s="11"/>
      <c r="T448" s="11"/>
      <c r="U448" s="15"/>
      <c r="V448" s="11"/>
      <c r="W448" s="11"/>
      <c r="X448" s="11"/>
      <c r="Y448" s="11"/>
      <c r="Z448" s="11"/>
    </row>
    <row r="449">
      <c r="A449" s="18"/>
      <c r="B449" s="11"/>
      <c r="C449" s="11"/>
      <c r="D449" s="11"/>
      <c r="E449" s="11"/>
      <c r="F449" s="11"/>
      <c r="G449" s="11"/>
      <c r="H449" s="11"/>
      <c r="I449" s="11"/>
      <c r="J449" s="11"/>
      <c r="K449" s="11"/>
      <c r="L449" s="15"/>
      <c r="M449" s="15"/>
      <c r="N449" s="15"/>
      <c r="O449" s="15"/>
      <c r="P449" s="15"/>
      <c r="Q449" s="11"/>
      <c r="R449" s="11"/>
      <c r="S449" s="11"/>
      <c r="T449" s="11"/>
      <c r="U449" s="15"/>
      <c r="V449" s="11"/>
      <c r="W449" s="11"/>
      <c r="X449" s="11"/>
      <c r="Y449" s="11"/>
      <c r="Z449" s="11"/>
    </row>
    <row r="450">
      <c r="A450" s="18"/>
      <c r="B450" s="11"/>
      <c r="C450" s="11"/>
      <c r="D450" s="11"/>
      <c r="E450" s="11"/>
      <c r="F450" s="11"/>
      <c r="G450" s="11"/>
      <c r="H450" s="11"/>
      <c r="I450" s="11"/>
      <c r="J450" s="11"/>
      <c r="K450" s="11"/>
      <c r="L450" s="15"/>
      <c r="M450" s="15"/>
      <c r="N450" s="15"/>
      <c r="O450" s="15"/>
      <c r="P450" s="15"/>
      <c r="Q450" s="11"/>
      <c r="R450" s="11"/>
      <c r="S450" s="11"/>
      <c r="T450" s="11"/>
      <c r="U450" s="15"/>
      <c r="V450" s="11"/>
      <c r="W450" s="11"/>
      <c r="X450" s="11"/>
      <c r="Y450" s="11"/>
      <c r="Z450" s="11"/>
    </row>
    <row r="451">
      <c r="A451" s="18"/>
      <c r="B451" s="11"/>
      <c r="C451" s="11"/>
      <c r="D451" s="11"/>
      <c r="E451" s="11"/>
      <c r="F451" s="11"/>
      <c r="G451" s="11"/>
      <c r="H451" s="11"/>
      <c r="I451" s="11"/>
      <c r="J451" s="11"/>
      <c r="K451" s="11"/>
      <c r="L451" s="15"/>
      <c r="M451" s="15"/>
      <c r="N451" s="15"/>
      <c r="O451" s="15"/>
      <c r="P451" s="15"/>
      <c r="Q451" s="11"/>
      <c r="R451" s="11"/>
      <c r="S451" s="11"/>
      <c r="T451" s="11"/>
      <c r="U451" s="15"/>
      <c r="V451" s="11"/>
      <c r="W451" s="11"/>
      <c r="X451" s="11"/>
      <c r="Y451" s="11"/>
      <c r="Z451" s="11"/>
    </row>
    <row r="452">
      <c r="A452" s="18"/>
      <c r="B452" s="11"/>
      <c r="C452" s="11"/>
      <c r="D452" s="11"/>
      <c r="E452" s="11"/>
      <c r="F452" s="11"/>
      <c r="G452" s="11"/>
      <c r="H452" s="11"/>
      <c r="I452" s="11"/>
      <c r="J452" s="11"/>
      <c r="K452" s="11"/>
      <c r="L452" s="15"/>
      <c r="M452" s="15"/>
      <c r="N452" s="15"/>
      <c r="O452" s="15"/>
      <c r="P452" s="15"/>
      <c r="Q452" s="11"/>
      <c r="R452" s="11"/>
      <c r="S452" s="11"/>
      <c r="T452" s="11"/>
      <c r="U452" s="15"/>
      <c r="V452" s="11"/>
      <c r="W452" s="11"/>
      <c r="X452" s="11"/>
      <c r="Y452" s="11"/>
      <c r="Z452" s="11"/>
    </row>
    <row r="453">
      <c r="A453" s="18"/>
      <c r="B453" s="11"/>
      <c r="C453" s="11"/>
      <c r="D453" s="11"/>
      <c r="E453" s="11"/>
      <c r="F453" s="11"/>
      <c r="G453" s="11"/>
      <c r="H453" s="11"/>
      <c r="I453" s="11"/>
      <c r="J453" s="11"/>
      <c r="K453" s="11"/>
      <c r="L453" s="15"/>
      <c r="M453" s="15"/>
      <c r="N453" s="15"/>
      <c r="O453" s="15"/>
      <c r="P453" s="15"/>
      <c r="Q453" s="11"/>
      <c r="R453" s="11"/>
      <c r="S453" s="11"/>
      <c r="T453" s="11"/>
      <c r="U453" s="15"/>
      <c r="V453" s="11"/>
      <c r="W453" s="11"/>
      <c r="X453" s="11"/>
      <c r="Y453" s="11"/>
      <c r="Z453" s="11"/>
    </row>
    <row r="454">
      <c r="A454" s="18"/>
      <c r="B454" s="11"/>
      <c r="C454" s="11"/>
      <c r="D454" s="11"/>
      <c r="E454" s="11"/>
      <c r="F454" s="11"/>
      <c r="G454" s="11"/>
      <c r="H454" s="11"/>
      <c r="I454" s="11"/>
      <c r="J454" s="11"/>
      <c r="K454" s="11"/>
      <c r="L454" s="15"/>
      <c r="M454" s="15"/>
      <c r="N454" s="15"/>
      <c r="O454" s="15"/>
      <c r="P454" s="15"/>
      <c r="Q454" s="11"/>
      <c r="R454" s="11"/>
      <c r="S454" s="11"/>
      <c r="T454" s="11"/>
      <c r="U454" s="15"/>
      <c r="V454" s="11"/>
      <c r="W454" s="11"/>
      <c r="X454" s="11"/>
      <c r="Y454" s="11"/>
      <c r="Z454" s="11"/>
    </row>
    <row r="455">
      <c r="A455" s="18"/>
      <c r="B455" s="11"/>
      <c r="C455" s="11"/>
      <c r="D455" s="11"/>
      <c r="E455" s="11"/>
      <c r="F455" s="11"/>
      <c r="G455" s="11"/>
      <c r="H455" s="11"/>
      <c r="I455" s="11"/>
      <c r="J455" s="11"/>
      <c r="K455" s="11"/>
      <c r="L455" s="15"/>
      <c r="M455" s="15"/>
      <c r="N455" s="15"/>
      <c r="O455" s="15"/>
      <c r="P455" s="15"/>
      <c r="Q455" s="11"/>
      <c r="R455" s="11"/>
      <c r="S455" s="11"/>
      <c r="T455" s="11"/>
      <c r="U455" s="15"/>
      <c r="V455" s="11"/>
      <c r="W455" s="11"/>
      <c r="X455" s="11"/>
      <c r="Y455" s="11"/>
      <c r="Z455" s="11"/>
    </row>
    <row r="456">
      <c r="A456" s="18"/>
      <c r="B456" s="11"/>
      <c r="C456" s="11"/>
      <c r="D456" s="11"/>
      <c r="E456" s="11"/>
      <c r="F456" s="11"/>
      <c r="G456" s="11"/>
      <c r="H456" s="11"/>
      <c r="I456" s="11"/>
      <c r="J456" s="11"/>
      <c r="K456" s="11"/>
      <c r="L456" s="15"/>
      <c r="M456" s="15"/>
      <c r="N456" s="15"/>
      <c r="O456" s="15"/>
      <c r="P456" s="15"/>
      <c r="Q456" s="11"/>
      <c r="R456" s="11"/>
      <c r="S456" s="11"/>
      <c r="T456" s="11"/>
      <c r="U456" s="15"/>
      <c r="V456" s="11"/>
      <c r="W456" s="11"/>
      <c r="X456" s="11"/>
      <c r="Y456" s="11"/>
      <c r="Z456" s="11"/>
    </row>
    <row r="457">
      <c r="A457" s="18"/>
      <c r="B457" s="11"/>
      <c r="C457" s="11"/>
      <c r="D457" s="11"/>
      <c r="E457" s="11"/>
      <c r="F457" s="11"/>
      <c r="G457" s="11"/>
      <c r="H457" s="11"/>
      <c r="I457" s="11"/>
      <c r="J457" s="11"/>
      <c r="K457" s="11"/>
      <c r="L457" s="15"/>
      <c r="M457" s="15"/>
      <c r="N457" s="15"/>
      <c r="O457" s="15"/>
      <c r="P457" s="15"/>
      <c r="Q457" s="11"/>
      <c r="R457" s="11"/>
      <c r="S457" s="11"/>
      <c r="T457" s="11"/>
      <c r="U457" s="15"/>
      <c r="V457" s="11"/>
      <c r="W457" s="11"/>
      <c r="X457" s="11"/>
      <c r="Y457" s="11"/>
      <c r="Z457" s="11"/>
    </row>
    <row r="458">
      <c r="A458" s="18"/>
      <c r="B458" s="11"/>
      <c r="C458" s="11"/>
      <c r="D458" s="11"/>
      <c r="E458" s="11"/>
      <c r="F458" s="11"/>
      <c r="G458" s="11"/>
      <c r="H458" s="11"/>
      <c r="I458" s="11"/>
      <c r="J458" s="11"/>
      <c r="K458" s="11"/>
      <c r="L458" s="15"/>
      <c r="M458" s="15"/>
      <c r="N458" s="15"/>
      <c r="O458" s="15"/>
      <c r="P458" s="15"/>
      <c r="Q458" s="11"/>
      <c r="R458" s="11"/>
      <c r="S458" s="11"/>
      <c r="T458" s="11"/>
      <c r="U458" s="15"/>
      <c r="V458" s="11"/>
      <c r="W458" s="11"/>
      <c r="X458" s="11"/>
      <c r="Y458" s="11"/>
      <c r="Z458" s="11"/>
    </row>
    <row r="459">
      <c r="A459" s="18"/>
      <c r="B459" s="11"/>
      <c r="C459" s="11"/>
      <c r="D459" s="11"/>
      <c r="E459" s="11"/>
      <c r="F459" s="11"/>
      <c r="G459" s="11"/>
      <c r="H459" s="11"/>
      <c r="I459" s="11"/>
      <c r="J459" s="11"/>
      <c r="K459" s="11"/>
      <c r="L459" s="15"/>
      <c r="M459" s="15"/>
      <c r="N459" s="15"/>
      <c r="O459" s="15"/>
      <c r="P459" s="15"/>
      <c r="Q459" s="11"/>
      <c r="R459" s="11"/>
      <c r="S459" s="11"/>
      <c r="T459" s="11"/>
      <c r="U459" s="15"/>
      <c r="V459" s="11"/>
      <c r="W459" s="11"/>
      <c r="X459" s="11"/>
      <c r="Y459" s="11"/>
      <c r="Z459" s="11"/>
    </row>
    <row r="460">
      <c r="A460" s="18"/>
      <c r="B460" s="11"/>
      <c r="C460" s="11"/>
      <c r="D460" s="11"/>
      <c r="E460" s="11"/>
      <c r="F460" s="11"/>
      <c r="G460" s="11"/>
      <c r="H460" s="11"/>
      <c r="I460" s="11"/>
      <c r="J460" s="11"/>
      <c r="K460" s="11"/>
      <c r="L460" s="15"/>
      <c r="M460" s="15"/>
      <c r="N460" s="15"/>
      <c r="O460" s="15"/>
      <c r="P460" s="15"/>
      <c r="Q460" s="11"/>
      <c r="R460" s="11"/>
      <c r="S460" s="11"/>
      <c r="T460" s="11"/>
      <c r="U460" s="15"/>
      <c r="V460" s="11"/>
      <c r="W460" s="11"/>
      <c r="X460" s="11"/>
      <c r="Y460" s="11"/>
      <c r="Z460" s="11"/>
    </row>
    <row r="461">
      <c r="A461" s="18"/>
      <c r="B461" s="11"/>
      <c r="C461" s="11"/>
      <c r="D461" s="11"/>
      <c r="E461" s="11"/>
      <c r="F461" s="11"/>
      <c r="G461" s="11"/>
      <c r="H461" s="11"/>
      <c r="I461" s="11"/>
      <c r="J461" s="11"/>
      <c r="K461" s="11"/>
      <c r="L461" s="15"/>
      <c r="M461" s="15"/>
      <c r="N461" s="15"/>
      <c r="O461" s="15"/>
      <c r="P461" s="15"/>
      <c r="Q461" s="11"/>
      <c r="R461" s="11"/>
      <c r="S461" s="11"/>
      <c r="T461" s="11"/>
      <c r="U461" s="15"/>
      <c r="V461" s="11"/>
      <c r="W461" s="11"/>
      <c r="X461" s="11"/>
      <c r="Y461" s="11"/>
      <c r="Z461" s="11"/>
    </row>
    <row r="462">
      <c r="A462" s="18"/>
      <c r="B462" s="11"/>
      <c r="C462" s="11"/>
      <c r="D462" s="11"/>
      <c r="E462" s="11"/>
      <c r="F462" s="11"/>
      <c r="G462" s="11"/>
      <c r="H462" s="11"/>
      <c r="I462" s="11"/>
      <c r="J462" s="11"/>
      <c r="K462" s="11"/>
      <c r="L462" s="15"/>
      <c r="M462" s="15"/>
      <c r="N462" s="15"/>
      <c r="O462" s="15"/>
      <c r="P462" s="15"/>
      <c r="Q462" s="11"/>
      <c r="R462" s="11"/>
      <c r="S462" s="11"/>
      <c r="T462" s="11"/>
      <c r="U462" s="15"/>
      <c r="V462" s="11"/>
      <c r="W462" s="11"/>
      <c r="X462" s="11"/>
      <c r="Y462" s="11"/>
      <c r="Z462" s="11"/>
    </row>
    <row r="463">
      <c r="A463" s="18"/>
      <c r="B463" s="11"/>
      <c r="C463" s="11"/>
      <c r="D463" s="11"/>
      <c r="E463" s="11"/>
      <c r="F463" s="11"/>
      <c r="G463" s="11"/>
      <c r="H463" s="11"/>
      <c r="I463" s="11"/>
      <c r="J463" s="11"/>
      <c r="K463" s="11"/>
      <c r="L463" s="15"/>
      <c r="M463" s="15"/>
      <c r="N463" s="15"/>
      <c r="O463" s="15"/>
      <c r="P463" s="15"/>
      <c r="Q463" s="11"/>
      <c r="R463" s="11"/>
      <c r="S463" s="11"/>
      <c r="T463" s="11"/>
      <c r="U463" s="15"/>
      <c r="V463" s="11"/>
      <c r="W463" s="11"/>
      <c r="X463" s="11"/>
      <c r="Y463" s="11"/>
      <c r="Z463" s="11"/>
    </row>
    <row r="464">
      <c r="A464" s="18"/>
      <c r="B464" s="11"/>
      <c r="C464" s="11"/>
      <c r="D464" s="11"/>
      <c r="E464" s="11"/>
      <c r="F464" s="11"/>
      <c r="G464" s="11"/>
      <c r="H464" s="11"/>
      <c r="I464" s="11"/>
      <c r="J464" s="11"/>
      <c r="K464" s="11"/>
      <c r="L464" s="15"/>
      <c r="M464" s="15"/>
      <c r="N464" s="15"/>
      <c r="O464" s="15"/>
      <c r="P464" s="15"/>
      <c r="Q464" s="11"/>
      <c r="R464" s="11"/>
      <c r="S464" s="11"/>
      <c r="T464" s="11"/>
      <c r="U464" s="15"/>
      <c r="V464" s="11"/>
      <c r="W464" s="11"/>
      <c r="X464" s="11"/>
      <c r="Y464" s="11"/>
      <c r="Z464" s="11"/>
    </row>
    <row r="465">
      <c r="A465" s="18"/>
      <c r="B465" s="11"/>
      <c r="C465" s="11"/>
      <c r="D465" s="11"/>
      <c r="E465" s="11"/>
      <c r="F465" s="11"/>
      <c r="G465" s="11"/>
      <c r="H465" s="11"/>
      <c r="I465" s="11"/>
      <c r="J465" s="11"/>
      <c r="K465" s="11"/>
      <c r="L465" s="15"/>
      <c r="M465" s="15"/>
      <c r="N465" s="15"/>
      <c r="O465" s="15"/>
      <c r="P465" s="15"/>
      <c r="Q465" s="11"/>
      <c r="R465" s="11"/>
      <c r="S465" s="11"/>
      <c r="T465" s="11"/>
      <c r="U465" s="15"/>
      <c r="V465" s="11"/>
      <c r="W465" s="11"/>
      <c r="X465" s="11"/>
      <c r="Y465" s="11"/>
      <c r="Z465" s="11"/>
    </row>
    <row r="466">
      <c r="A466" s="18"/>
      <c r="B466" s="11"/>
      <c r="C466" s="11"/>
      <c r="D466" s="11"/>
      <c r="E466" s="11"/>
      <c r="F466" s="11"/>
      <c r="G466" s="11"/>
      <c r="H466" s="11"/>
      <c r="I466" s="11"/>
      <c r="J466" s="11"/>
      <c r="K466" s="11"/>
      <c r="L466" s="15"/>
      <c r="M466" s="15"/>
      <c r="N466" s="15"/>
      <c r="O466" s="15"/>
      <c r="P466" s="15"/>
      <c r="Q466" s="11"/>
      <c r="R466" s="11"/>
      <c r="S466" s="11"/>
      <c r="T466" s="11"/>
      <c r="U466" s="15"/>
      <c r="V466" s="11"/>
      <c r="W466" s="11"/>
      <c r="X466" s="11"/>
      <c r="Y466" s="11"/>
      <c r="Z466" s="11"/>
    </row>
    <row r="467">
      <c r="A467" s="18"/>
      <c r="B467" s="11"/>
      <c r="C467" s="11"/>
      <c r="D467" s="11"/>
      <c r="E467" s="11"/>
      <c r="F467" s="11"/>
      <c r="G467" s="11"/>
      <c r="H467" s="11"/>
      <c r="I467" s="11"/>
      <c r="J467" s="11"/>
      <c r="K467" s="11"/>
      <c r="L467" s="15"/>
      <c r="M467" s="15"/>
      <c r="N467" s="15"/>
      <c r="O467" s="15"/>
      <c r="P467" s="15"/>
      <c r="Q467" s="11"/>
      <c r="R467" s="11"/>
      <c r="S467" s="11"/>
      <c r="T467" s="11"/>
      <c r="U467" s="15"/>
      <c r="V467" s="11"/>
      <c r="W467" s="11"/>
      <c r="X467" s="11"/>
      <c r="Y467" s="11"/>
      <c r="Z467" s="11"/>
    </row>
    <row r="468">
      <c r="A468" s="18"/>
      <c r="B468" s="11"/>
      <c r="C468" s="11"/>
      <c r="D468" s="11"/>
      <c r="E468" s="11"/>
      <c r="F468" s="11"/>
      <c r="G468" s="11"/>
      <c r="H468" s="11"/>
      <c r="I468" s="11"/>
      <c r="J468" s="11"/>
      <c r="K468" s="11"/>
      <c r="L468" s="15"/>
      <c r="M468" s="15"/>
      <c r="N468" s="15"/>
      <c r="O468" s="15"/>
      <c r="P468" s="15"/>
      <c r="Q468" s="11"/>
      <c r="R468" s="11"/>
      <c r="S468" s="11"/>
      <c r="T468" s="11"/>
      <c r="U468" s="15"/>
      <c r="V468" s="11"/>
      <c r="W468" s="11"/>
      <c r="X468" s="11"/>
      <c r="Y468" s="11"/>
      <c r="Z468" s="11"/>
    </row>
    <row r="469">
      <c r="A469" s="18"/>
      <c r="B469" s="11"/>
      <c r="C469" s="11"/>
      <c r="D469" s="11"/>
      <c r="E469" s="11"/>
      <c r="F469" s="11"/>
      <c r="G469" s="11"/>
      <c r="H469" s="11"/>
      <c r="I469" s="11"/>
      <c r="J469" s="11"/>
      <c r="K469" s="11"/>
      <c r="L469" s="15"/>
      <c r="M469" s="15"/>
      <c r="N469" s="15"/>
      <c r="O469" s="15"/>
      <c r="P469" s="15"/>
      <c r="Q469" s="11"/>
      <c r="R469" s="11"/>
      <c r="S469" s="11"/>
      <c r="T469" s="11"/>
      <c r="U469" s="15"/>
      <c r="V469" s="11"/>
      <c r="W469" s="11"/>
      <c r="X469" s="11"/>
      <c r="Y469" s="11"/>
      <c r="Z469" s="11"/>
    </row>
    <row r="470">
      <c r="A470" s="18"/>
      <c r="B470" s="11"/>
      <c r="C470" s="11"/>
      <c r="D470" s="11"/>
      <c r="E470" s="11"/>
      <c r="F470" s="11"/>
      <c r="G470" s="11"/>
      <c r="H470" s="11"/>
      <c r="I470" s="11"/>
      <c r="J470" s="11"/>
      <c r="K470" s="11"/>
      <c r="L470" s="15"/>
      <c r="M470" s="15"/>
      <c r="N470" s="15"/>
      <c r="O470" s="15"/>
      <c r="P470" s="15"/>
      <c r="Q470" s="11"/>
      <c r="R470" s="11"/>
      <c r="S470" s="11"/>
      <c r="T470" s="11"/>
      <c r="U470" s="15"/>
      <c r="V470" s="11"/>
      <c r="W470" s="11"/>
      <c r="X470" s="11"/>
      <c r="Y470" s="11"/>
      <c r="Z470" s="11"/>
    </row>
    <row r="471">
      <c r="A471" s="18"/>
      <c r="B471" s="11"/>
      <c r="C471" s="11"/>
      <c r="D471" s="11"/>
      <c r="E471" s="11"/>
      <c r="F471" s="11"/>
      <c r="G471" s="11"/>
      <c r="H471" s="11"/>
      <c r="I471" s="11"/>
      <c r="J471" s="11"/>
      <c r="K471" s="11"/>
      <c r="L471" s="15"/>
      <c r="M471" s="15"/>
      <c r="N471" s="15"/>
      <c r="O471" s="15"/>
      <c r="P471" s="15"/>
      <c r="Q471" s="11"/>
      <c r="R471" s="11"/>
      <c r="S471" s="11"/>
      <c r="T471" s="11"/>
      <c r="U471" s="15"/>
      <c r="V471" s="11"/>
      <c r="W471" s="11"/>
      <c r="X471" s="11"/>
      <c r="Y471" s="11"/>
      <c r="Z471" s="11"/>
    </row>
    <row r="472">
      <c r="A472" s="18"/>
      <c r="B472" s="11"/>
      <c r="C472" s="11"/>
      <c r="D472" s="11"/>
      <c r="E472" s="11"/>
      <c r="F472" s="11"/>
      <c r="G472" s="11"/>
      <c r="H472" s="11"/>
      <c r="I472" s="11"/>
      <c r="J472" s="11"/>
      <c r="K472" s="11"/>
      <c r="L472" s="15"/>
      <c r="M472" s="15"/>
      <c r="N472" s="15"/>
      <c r="O472" s="15"/>
      <c r="P472" s="15"/>
      <c r="Q472" s="11"/>
      <c r="R472" s="11"/>
      <c r="S472" s="11"/>
      <c r="T472" s="11"/>
      <c r="U472" s="15"/>
      <c r="V472" s="11"/>
      <c r="W472" s="11"/>
      <c r="X472" s="11"/>
      <c r="Y472" s="11"/>
      <c r="Z472" s="11"/>
    </row>
    <row r="473">
      <c r="A473" s="18"/>
      <c r="B473" s="11"/>
      <c r="C473" s="11"/>
      <c r="D473" s="11"/>
      <c r="E473" s="11"/>
      <c r="F473" s="11"/>
      <c r="G473" s="11"/>
      <c r="H473" s="11"/>
      <c r="I473" s="11"/>
      <c r="J473" s="11"/>
      <c r="K473" s="11"/>
      <c r="L473" s="15"/>
      <c r="M473" s="15"/>
      <c r="N473" s="15"/>
      <c r="O473" s="15"/>
      <c r="P473" s="15"/>
      <c r="Q473" s="11"/>
      <c r="R473" s="11"/>
      <c r="S473" s="11"/>
      <c r="T473" s="11"/>
      <c r="U473" s="15"/>
      <c r="V473" s="11"/>
      <c r="W473" s="11"/>
      <c r="X473" s="11"/>
      <c r="Y473" s="11"/>
      <c r="Z473" s="11"/>
    </row>
    <row r="474">
      <c r="A474" s="18"/>
      <c r="B474" s="11"/>
      <c r="C474" s="11"/>
      <c r="D474" s="11"/>
      <c r="E474" s="11"/>
      <c r="F474" s="11"/>
      <c r="G474" s="11"/>
      <c r="H474" s="11"/>
      <c r="I474" s="11"/>
      <c r="J474" s="11"/>
      <c r="K474" s="11"/>
      <c r="L474" s="15"/>
      <c r="M474" s="15"/>
      <c r="N474" s="15"/>
      <c r="O474" s="15"/>
      <c r="P474" s="15"/>
      <c r="Q474" s="11"/>
      <c r="R474" s="11"/>
      <c r="S474" s="11"/>
      <c r="T474" s="11"/>
      <c r="U474" s="15"/>
      <c r="V474" s="11"/>
      <c r="W474" s="11"/>
      <c r="X474" s="11"/>
      <c r="Y474" s="11"/>
      <c r="Z474" s="11"/>
    </row>
    <row r="475">
      <c r="A475" s="18"/>
      <c r="B475" s="11"/>
      <c r="C475" s="11"/>
      <c r="D475" s="11"/>
      <c r="E475" s="11"/>
      <c r="F475" s="11"/>
      <c r="G475" s="11"/>
      <c r="H475" s="11"/>
      <c r="I475" s="11"/>
      <c r="J475" s="11"/>
      <c r="K475" s="11"/>
      <c r="L475" s="15"/>
      <c r="M475" s="15"/>
      <c r="N475" s="15"/>
      <c r="O475" s="15"/>
      <c r="P475" s="15"/>
      <c r="Q475" s="11"/>
      <c r="R475" s="11"/>
      <c r="S475" s="11"/>
      <c r="T475" s="11"/>
      <c r="U475" s="15"/>
      <c r="V475" s="11"/>
      <c r="W475" s="11"/>
      <c r="X475" s="11"/>
      <c r="Y475" s="11"/>
      <c r="Z475" s="11"/>
    </row>
    <row r="476">
      <c r="A476" s="18"/>
      <c r="B476" s="11"/>
      <c r="C476" s="11"/>
      <c r="D476" s="11"/>
      <c r="E476" s="11"/>
      <c r="F476" s="11"/>
      <c r="G476" s="11"/>
      <c r="H476" s="11"/>
      <c r="I476" s="11"/>
      <c r="J476" s="11"/>
      <c r="K476" s="11"/>
      <c r="L476" s="15"/>
      <c r="M476" s="15"/>
      <c r="N476" s="15"/>
      <c r="O476" s="15"/>
      <c r="P476" s="15"/>
      <c r="Q476" s="11"/>
      <c r="R476" s="11"/>
      <c r="S476" s="11"/>
      <c r="T476" s="11"/>
      <c r="U476" s="15"/>
      <c r="V476" s="11"/>
      <c r="W476" s="11"/>
      <c r="X476" s="11"/>
      <c r="Y476" s="11"/>
      <c r="Z476" s="11"/>
    </row>
    <row r="477">
      <c r="A477" s="18"/>
      <c r="B477" s="11"/>
      <c r="C477" s="11"/>
      <c r="D477" s="11"/>
      <c r="E477" s="11"/>
      <c r="F477" s="11"/>
      <c r="G477" s="11"/>
      <c r="H477" s="11"/>
      <c r="I477" s="11"/>
      <c r="J477" s="11"/>
      <c r="K477" s="11"/>
      <c r="L477" s="15"/>
      <c r="M477" s="15"/>
      <c r="N477" s="15"/>
      <c r="O477" s="15"/>
      <c r="P477" s="15"/>
      <c r="Q477" s="11"/>
      <c r="R477" s="11"/>
      <c r="S477" s="11"/>
      <c r="T477" s="11"/>
      <c r="U477" s="15"/>
      <c r="V477" s="11"/>
      <c r="W477" s="11"/>
      <c r="X477" s="11"/>
      <c r="Y477" s="11"/>
      <c r="Z477" s="11"/>
    </row>
    <row r="478">
      <c r="A478" s="18"/>
      <c r="B478" s="11"/>
      <c r="C478" s="11"/>
      <c r="D478" s="11"/>
      <c r="E478" s="11"/>
      <c r="F478" s="11"/>
      <c r="G478" s="11"/>
      <c r="H478" s="11"/>
      <c r="I478" s="11"/>
      <c r="J478" s="11"/>
      <c r="K478" s="11"/>
      <c r="L478" s="15"/>
      <c r="M478" s="15"/>
      <c r="N478" s="15"/>
      <c r="O478" s="15"/>
      <c r="P478" s="15"/>
      <c r="Q478" s="11"/>
      <c r="R478" s="11"/>
      <c r="S478" s="11"/>
      <c r="T478" s="11"/>
      <c r="U478" s="15"/>
      <c r="V478" s="11"/>
      <c r="W478" s="11"/>
      <c r="X478" s="11"/>
      <c r="Y478" s="11"/>
      <c r="Z478" s="11"/>
    </row>
    <row r="479">
      <c r="A479" s="18"/>
      <c r="B479" s="11"/>
      <c r="C479" s="11"/>
      <c r="D479" s="11"/>
      <c r="E479" s="11"/>
      <c r="F479" s="11"/>
      <c r="G479" s="11"/>
      <c r="H479" s="11"/>
      <c r="I479" s="11"/>
      <c r="J479" s="11"/>
      <c r="K479" s="11"/>
      <c r="L479" s="15"/>
      <c r="M479" s="15"/>
      <c r="N479" s="15"/>
      <c r="O479" s="15"/>
      <c r="P479" s="15"/>
      <c r="Q479" s="11"/>
      <c r="R479" s="11"/>
      <c r="S479" s="11"/>
      <c r="T479" s="11"/>
      <c r="U479" s="15"/>
      <c r="V479" s="11"/>
      <c r="W479" s="11"/>
      <c r="X479" s="11"/>
      <c r="Y479" s="11"/>
      <c r="Z479" s="11"/>
    </row>
    <row r="480">
      <c r="A480" s="18"/>
      <c r="B480" s="11"/>
      <c r="C480" s="11"/>
      <c r="D480" s="11"/>
      <c r="E480" s="11"/>
      <c r="F480" s="11"/>
      <c r="G480" s="11"/>
      <c r="H480" s="11"/>
      <c r="I480" s="11"/>
      <c r="J480" s="11"/>
      <c r="K480" s="11"/>
      <c r="L480" s="15"/>
      <c r="M480" s="15"/>
      <c r="N480" s="15"/>
      <c r="O480" s="15"/>
      <c r="P480" s="15"/>
      <c r="Q480" s="11"/>
      <c r="R480" s="11"/>
      <c r="S480" s="11"/>
      <c r="T480" s="11"/>
      <c r="U480" s="15"/>
      <c r="V480" s="11"/>
      <c r="W480" s="11"/>
      <c r="X480" s="11"/>
      <c r="Y480" s="11"/>
      <c r="Z480" s="11"/>
    </row>
    <row r="481">
      <c r="A481" s="18"/>
      <c r="B481" s="11"/>
      <c r="C481" s="11"/>
      <c r="D481" s="11"/>
      <c r="E481" s="11"/>
      <c r="F481" s="11"/>
      <c r="G481" s="11"/>
      <c r="H481" s="11"/>
      <c r="I481" s="11"/>
      <c r="J481" s="11"/>
      <c r="K481" s="11"/>
      <c r="L481" s="15"/>
      <c r="M481" s="15"/>
      <c r="N481" s="15"/>
      <c r="O481" s="15"/>
      <c r="P481" s="15"/>
      <c r="Q481" s="11"/>
      <c r="R481" s="11"/>
      <c r="S481" s="11"/>
      <c r="T481" s="11"/>
      <c r="U481" s="15"/>
      <c r="V481" s="11"/>
      <c r="W481" s="11"/>
      <c r="X481" s="11"/>
      <c r="Y481" s="11"/>
      <c r="Z481" s="11"/>
    </row>
    <row r="482">
      <c r="A482" s="18"/>
      <c r="B482" s="11"/>
      <c r="C482" s="11"/>
      <c r="D482" s="11"/>
      <c r="E482" s="11"/>
      <c r="F482" s="11"/>
      <c r="G482" s="11"/>
      <c r="H482" s="11"/>
      <c r="I482" s="11"/>
      <c r="J482" s="11"/>
      <c r="K482" s="11"/>
      <c r="L482" s="15"/>
      <c r="M482" s="15"/>
      <c r="N482" s="15"/>
      <c r="O482" s="15"/>
      <c r="P482" s="15"/>
      <c r="Q482" s="11"/>
      <c r="R482" s="11"/>
      <c r="S482" s="11"/>
      <c r="T482" s="11"/>
      <c r="U482" s="15"/>
      <c r="V482" s="11"/>
      <c r="W482" s="11"/>
      <c r="X482" s="11"/>
      <c r="Y482" s="11"/>
      <c r="Z482" s="11"/>
    </row>
    <row r="483">
      <c r="A483" s="18"/>
      <c r="B483" s="11"/>
      <c r="C483" s="11"/>
      <c r="D483" s="11"/>
      <c r="E483" s="11"/>
      <c r="F483" s="11"/>
      <c r="G483" s="11"/>
      <c r="H483" s="11"/>
      <c r="I483" s="11"/>
      <c r="J483" s="11"/>
      <c r="K483" s="11"/>
      <c r="L483" s="15"/>
      <c r="M483" s="15"/>
      <c r="N483" s="15"/>
      <c r="O483" s="15"/>
      <c r="P483" s="15"/>
      <c r="Q483" s="11"/>
      <c r="R483" s="11"/>
      <c r="S483" s="11"/>
      <c r="T483" s="11"/>
      <c r="U483" s="15"/>
      <c r="V483" s="11"/>
      <c r="W483" s="11"/>
      <c r="X483" s="11"/>
      <c r="Y483" s="11"/>
      <c r="Z483" s="11"/>
    </row>
    <row r="484">
      <c r="A484" s="18"/>
      <c r="B484" s="11"/>
      <c r="C484" s="11"/>
      <c r="D484" s="11"/>
      <c r="E484" s="11"/>
      <c r="F484" s="11"/>
      <c r="G484" s="11"/>
      <c r="H484" s="11"/>
      <c r="I484" s="11"/>
      <c r="J484" s="11"/>
      <c r="K484" s="11"/>
      <c r="L484" s="15"/>
      <c r="M484" s="15"/>
      <c r="N484" s="15"/>
      <c r="O484" s="15"/>
      <c r="P484" s="15"/>
      <c r="Q484" s="11"/>
      <c r="R484" s="11"/>
      <c r="S484" s="11"/>
      <c r="T484" s="11"/>
      <c r="U484" s="15"/>
      <c r="V484" s="11"/>
      <c r="W484" s="11"/>
      <c r="X484" s="11"/>
      <c r="Y484" s="11"/>
      <c r="Z484" s="11"/>
    </row>
    <row r="485">
      <c r="A485" s="18"/>
      <c r="B485" s="11"/>
      <c r="C485" s="11"/>
      <c r="D485" s="11"/>
      <c r="E485" s="11"/>
      <c r="F485" s="11"/>
      <c r="G485" s="11"/>
      <c r="H485" s="11"/>
      <c r="I485" s="11"/>
      <c r="J485" s="11"/>
      <c r="K485" s="11"/>
      <c r="L485" s="15"/>
      <c r="M485" s="15"/>
      <c r="N485" s="15"/>
      <c r="O485" s="15"/>
      <c r="P485" s="15"/>
      <c r="Q485" s="11"/>
      <c r="R485" s="11"/>
      <c r="S485" s="11"/>
      <c r="T485" s="11"/>
      <c r="U485" s="15"/>
      <c r="V485" s="11"/>
      <c r="W485" s="11"/>
      <c r="X485" s="11"/>
      <c r="Y485" s="11"/>
      <c r="Z485" s="11"/>
    </row>
    <row r="486">
      <c r="A486" s="18"/>
      <c r="B486" s="11"/>
      <c r="C486" s="11"/>
      <c r="D486" s="11"/>
      <c r="E486" s="11"/>
      <c r="F486" s="11"/>
      <c r="G486" s="11"/>
      <c r="H486" s="11"/>
      <c r="I486" s="11"/>
      <c r="J486" s="11"/>
      <c r="K486" s="11"/>
      <c r="L486" s="15"/>
      <c r="M486" s="15"/>
      <c r="N486" s="15"/>
      <c r="O486" s="15"/>
      <c r="P486" s="15"/>
      <c r="Q486" s="11"/>
      <c r="R486" s="11"/>
      <c r="S486" s="11"/>
      <c r="T486" s="11"/>
      <c r="U486" s="15"/>
      <c r="V486" s="11"/>
      <c r="W486" s="11"/>
      <c r="X486" s="11"/>
      <c r="Y486" s="11"/>
      <c r="Z486" s="11"/>
    </row>
    <row r="487">
      <c r="A487" s="18"/>
      <c r="B487" s="11"/>
      <c r="C487" s="11"/>
      <c r="D487" s="11"/>
      <c r="E487" s="11"/>
      <c r="F487" s="11"/>
      <c r="G487" s="11"/>
      <c r="H487" s="11"/>
      <c r="I487" s="11"/>
      <c r="J487" s="11"/>
      <c r="K487" s="11"/>
      <c r="L487" s="15"/>
      <c r="M487" s="15"/>
      <c r="N487" s="15"/>
      <c r="O487" s="15"/>
      <c r="P487" s="15"/>
      <c r="Q487" s="11"/>
      <c r="R487" s="11"/>
      <c r="S487" s="11"/>
      <c r="T487" s="11"/>
      <c r="U487" s="15"/>
      <c r="V487" s="11"/>
      <c r="W487" s="11"/>
      <c r="X487" s="11"/>
      <c r="Y487" s="11"/>
      <c r="Z487" s="11"/>
    </row>
    <row r="488">
      <c r="A488" s="18"/>
      <c r="B488" s="11"/>
      <c r="C488" s="11"/>
      <c r="D488" s="11"/>
      <c r="E488" s="11"/>
      <c r="F488" s="11"/>
      <c r="G488" s="11"/>
      <c r="H488" s="11"/>
      <c r="I488" s="11"/>
      <c r="J488" s="11"/>
      <c r="K488" s="11"/>
      <c r="L488" s="15"/>
      <c r="M488" s="15"/>
      <c r="N488" s="15"/>
      <c r="O488" s="15"/>
      <c r="P488" s="15"/>
      <c r="Q488" s="11"/>
      <c r="R488" s="11"/>
      <c r="S488" s="11"/>
      <c r="T488" s="11"/>
      <c r="U488" s="15"/>
      <c r="V488" s="11"/>
      <c r="W488" s="11"/>
      <c r="X488" s="11"/>
      <c r="Y488" s="11"/>
      <c r="Z488" s="11"/>
    </row>
    <row r="489">
      <c r="A489" s="18"/>
      <c r="B489" s="11"/>
      <c r="C489" s="11"/>
      <c r="D489" s="11"/>
      <c r="E489" s="11"/>
      <c r="F489" s="11"/>
      <c r="G489" s="11"/>
      <c r="H489" s="11"/>
      <c r="I489" s="11"/>
      <c r="J489" s="11"/>
      <c r="K489" s="11"/>
      <c r="L489" s="15"/>
      <c r="M489" s="15"/>
      <c r="N489" s="15"/>
      <c r="O489" s="15"/>
      <c r="P489" s="15"/>
      <c r="Q489" s="11"/>
      <c r="R489" s="11"/>
      <c r="S489" s="11"/>
      <c r="T489" s="11"/>
      <c r="U489" s="15"/>
      <c r="V489" s="11"/>
      <c r="W489" s="11"/>
      <c r="X489" s="11"/>
      <c r="Y489" s="11"/>
      <c r="Z489" s="11"/>
    </row>
    <row r="490">
      <c r="A490" s="18"/>
      <c r="B490" s="11"/>
      <c r="C490" s="11"/>
      <c r="D490" s="11"/>
      <c r="E490" s="11"/>
      <c r="F490" s="11"/>
      <c r="G490" s="11"/>
      <c r="H490" s="11"/>
      <c r="I490" s="11"/>
      <c r="J490" s="11"/>
      <c r="K490" s="11"/>
      <c r="L490" s="15"/>
      <c r="M490" s="15"/>
      <c r="N490" s="15"/>
      <c r="O490" s="15"/>
      <c r="P490" s="15"/>
      <c r="Q490" s="11"/>
      <c r="R490" s="11"/>
      <c r="S490" s="11"/>
      <c r="T490" s="11"/>
      <c r="U490" s="15"/>
      <c r="V490" s="11"/>
      <c r="W490" s="11"/>
      <c r="X490" s="11"/>
      <c r="Y490" s="11"/>
      <c r="Z490" s="11"/>
    </row>
    <row r="491">
      <c r="A491" s="18"/>
      <c r="B491" s="11"/>
      <c r="C491" s="11"/>
      <c r="D491" s="11"/>
      <c r="E491" s="11"/>
      <c r="F491" s="11"/>
      <c r="G491" s="11"/>
      <c r="H491" s="11"/>
      <c r="I491" s="11"/>
      <c r="J491" s="11"/>
      <c r="K491" s="11"/>
      <c r="L491" s="15"/>
      <c r="M491" s="15"/>
      <c r="N491" s="15"/>
      <c r="O491" s="15"/>
      <c r="P491" s="15"/>
      <c r="Q491" s="11"/>
      <c r="R491" s="11"/>
      <c r="S491" s="11"/>
      <c r="T491" s="11"/>
      <c r="U491" s="15"/>
      <c r="V491" s="11"/>
      <c r="W491" s="11"/>
      <c r="X491" s="11"/>
      <c r="Y491" s="11"/>
      <c r="Z491" s="11"/>
    </row>
    <row r="492">
      <c r="A492" s="18"/>
      <c r="B492" s="11"/>
      <c r="C492" s="11"/>
      <c r="D492" s="11"/>
      <c r="E492" s="11"/>
      <c r="F492" s="11"/>
      <c r="G492" s="11"/>
      <c r="H492" s="11"/>
      <c r="I492" s="11"/>
      <c r="J492" s="11"/>
      <c r="K492" s="11"/>
      <c r="L492" s="15"/>
      <c r="M492" s="15"/>
      <c r="N492" s="15"/>
      <c r="O492" s="15"/>
      <c r="P492" s="15"/>
      <c r="Q492" s="11"/>
      <c r="R492" s="11"/>
      <c r="S492" s="11"/>
      <c r="T492" s="11"/>
      <c r="U492" s="15"/>
      <c r="V492" s="11"/>
      <c r="W492" s="11"/>
      <c r="X492" s="11"/>
      <c r="Y492" s="11"/>
      <c r="Z492" s="11"/>
    </row>
    <row r="493">
      <c r="A493" s="18"/>
      <c r="B493" s="11"/>
      <c r="C493" s="11"/>
      <c r="D493" s="11"/>
      <c r="E493" s="11"/>
      <c r="F493" s="11"/>
      <c r="G493" s="11"/>
      <c r="H493" s="11"/>
      <c r="I493" s="11"/>
      <c r="J493" s="11"/>
      <c r="K493" s="11"/>
      <c r="L493" s="15"/>
      <c r="M493" s="15"/>
      <c r="N493" s="15"/>
      <c r="O493" s="15"/>
      <c r="P493" s="15"/>
      <c r="Q493" s="11"/>
      <c r="R493" s="11"/>
      <c r="S493" s="11"/>
      <c r="T493" s="11"/>
      <c r="U493" s="15"/>
      <c r="V493" s="11"/>
      <c r="W493" s="11"/>
      <c r="X493" s="11"/>
      <c r="Y493" s="11"/>
      <c r="Z493" s="11"/>
    </row>
    <row r="494">
      <c r="A494" s="18"/>
      <c r="B494" s="11"/>
      <c r="C494" s="11"/>
      <c r="D494" s="11"/>
      <c r="E494" s="11"/>
      <c r="F494" s="11"/>
      <c r="G494" s="11"/>
      <c r="H494" s="11"/>
      <c r="I494" s="11"/>
      <c r="J494" s="11"/>
      <c r="K494" s="11"/>
      <c r="L494" s="15"/>
      <c r="M494" s="15"/>
      <c r="N494" s="15"/>
      <c r="O494" s="15"/>
      <c r="P494" s="15"/>
      <c r="Q494" s="11"/>
      <c r="R494" s="11"/>
      <c r="S494" s="11"/>
      <c r="T494" s="11"/>
      <c r="U494" s="15"/>
      <c r="V494" s="11"/>
      <c r="W494" s="11"/>
      <c r="X494" s="11"/>
      <c r="Y494" s="11"/>
      <c r="Z494" s="11"/>
    </row>
    <row r="495">
      <c r="A495" s="18"/>
      <c r="B495" s="11"/>
      <c r="C495" s="11"/>
      <c r="D495" s="11"/>
      <c r="E495" s="11"/>
      <c r="F495" s="11"/>
      <c r="G495" s="11"/>
      <c r="H495" s="11"/>
      <c r="I495" s="11"/>
      <c r="J495" s="11"/>
      <c r="K495" s="11"/>
      <c r="L495" s="15"/>
      <c r="M495" s="15"/>
      <c r="N495" s="15"/>
      <c r="O495" s="15"/>
      <c r="P495" s="15"/>
      <c r="Q495" s="11"/>
      <c r="R495" s="11"/>
      <c r="S495" s="11"/>
      <c r="T495" s="11"/>
      <c r="U495" s="15"/>
      <c r="V495" s="11"/>
      <c r="W495" s="11"/>
      <c r="X495" s="11"/>
      <c r="Y495" s="11"/>
      <c r="Z495" s="11"/>
    </row>
    <row r="496">
      <c r="A496" s="18"/>
      <c r="B496" s="11"/>
      <c r="C496" s="11"/>
      <c r="D496" s="11"/>
      <c r="E496" s="11"/>
      <c r="F496" s="11"/>
      <c r="G496" s="11"/>
      <c r="H496" s="11"/>
      <c r="I496" s="11"/>
      <c r="J496" s="11"/>
      <c r="K496" s="11"/>
      <c r="L496" s="15"/>
      <c r="M496" s="15"/>
      <c r="N496" s="15"/>
      <c r="O496" s="15"/>
      <c r="P496" s="15"/>
      <c r="Q496" s="11"/>
      <c r="R496" s="11"/>
      <c r="S496" s="11"/>
      <c r="T496" s="11"/>
      <c r="U496" s="15"/>
      <c r="V496" s="11"/>
      <c r="W496" s="11"/>
      <c r="X496" s="11"/>
      <c r="Y496" s="11"/>
      <c r="Z496" s="11"/>
    </row>
    <row r="497">
      <c r="A497" s="18"/>
      <c r="B497" s="11"/>
      <c r="C497" s="11"/>
      <c r="D497" s="11"/>
      <c r="E497" s="11"/>
      <c r="F497" s="11"/>
      <c r="G497" s="11"/>
      <c r="H497" s="11"/>
      <c r="I497" s="11"/>
      <c r="J497" s="11"/>
      <c r="K497" s="11"/>
      <c r="L497" s="15"/>
      <c r="M497" s="15"/>
      <c r="N497" s="15"/>
      <c r="O497" s="15"/>
      <c r="P497" s="15"/>
      <c r="Q497" s="11"/>
      <c r="R497" s="11"/>
      <c r="S497" s="11"/>
      <c r="T497" s="11"/>
      <c r="U497" s="15"/>
      <c r="V497" s="11"/>
      <c r="W497" s="11"/>
      <c r="X497" s="11"/>
      <c r="Y497" s="11"/>
      <c r="Z497" s="11"/>
    </row>
    <row r="498">
      <c r="A498" s="18"/>
      <c r="B498" s="11"/>
      <c r="C498" s="11"/>
      <c r="D498" s="11"/>
      <c r="E498" s="11"/>
      <c r="F498" s="11"/>
      <c r="G498" s="11"/>
      <c r="H498" s="11"/>
      <c r="I498" s="11"/>
      <c r="J498" s="11"/>
      <c r="K498" s="11"/>
      <c r="L498" s="15"/>
      <c r="M498" s="15"/>
      <c r="N498" s="15"/>
      <c r="O498" s="15"/>
      <c r="P498" s="15"/>
      <c r="Q498" s="11"/>
      <c r="R498" s="11"/>
      <c r="S498" s="11"/>
      <c r="T498" s="11"/>
      <c r="U498" s="15"/>
      <c r="V498" s="11"/>
      <c r="W498" s="11"/>
      <c r="X498" s="11"/>
      <c r="Y498" s="11"/>
      <c r="Z498" s="11"/>
    </row>
    <row r="499">
      <c r="A499" s="18"/>
      <c r="B499" s="11"/>
      <c r="C499" s="11"/>
      <c r="D499" s="11"/>
      <c r="E499" s="11"/>
      <c r="F499" s="11"/>
      <c r="G499" s="11"/>
      <c r="H499" s="11"/>
      <c r="I499" s="11"/>
      <c r="J499" s="11"/>
      <c r="K499" s="11"/>
      <c r="L499" s="15"/>
      <c r="M499" s="15"/>
      <c r="N499" s="15"/>
      <c r="O499" s="15"/>
      <c r="P499" s="15"/>
      <c r="Q499" s="11"/>
      <c r="R499" s="11"/>
      <c r="S499" s="11"/>
      <c r="T499" s="11"/>
      <c r="U499" s="15"/>
      <c r="V499" s="11"/>
      <c r="W499" s="11"/>
      <c r="X499" s="11"/>
      <c r="Y499" s="11"/>
      <c r="Z499" s="11"/>
    </row>
    <row r="500">
      <c r="A500" s="18"/>
      <c r="B500" s="11"/>
      <c r="C500" s="11"/>
      <c r="D500" s="11"/>
      <c r="E500" s="11"/>
      <c r="F500" s="11"/>
      <c r="G500" s="11"/>
      <c r="H500" s="11"/>
      <c r="I500" s="11"/>
      <c r="J500" s="11"/>
      <c r="K500" s="11"/>
      <c r="L500" s="15"/>
      <c r="M500" s="15"/>
      <c r="N500" s="15"/>
      <c r="O500" s="15"/>
      <c r="P500" s="15"/>
      <c r="Q500" s="11"/>
      <c r="R500" s="11"/>
      <c r="S500" s="11"/>
      <c r="T500" s="11"/>
      <c r="U500" s="15"/>
      <c r="V500" s="11"/>
      <c r="W500" s="11"/>
      <c r="X500" s="11"/>
      <c r="Y500" s="11"/>
      <c r="Z500" s="11"/>
    </row>
    <row r="501">
      <c r="A501" s="18"/>
      <c r="B501" s="11"/>
      <c r="C501" s="11"/>
      <c r="D501" s="11"/>
      <c r="E501" s="11"/>
      <c r="F501" s="11"/>
      <c r="G501" s="11"/>
      <c r="H501" s="11"/>
      <c r="I501" s="11"/>
      <c r="J501" s="11"/>
      <c r="K501" s="11"/>
      <c r="L501" s="15"/>
      <c r="M501" s="15"/>
      <c r="N501" s="15"/>
      <c r="O501" s="15"/>
      <c r="P501" s="15"/>
      <c r="Q501" s="11"/>
      <c r="R501" s="11"/>
      <c r="S501" s="11"/>
      <c r="T501" s="11"/>
      <c r="U501" s="15"/>
      <c r="V501" s="11"/>
      <c r="W501" s="11"/>
      <c r="X501" s="11"/>
      <c r="Y501" s="11"/>
      <c r="Z501" s="11"/>
    </row>
    <row r="502">
      <c r="A502" s="18"/>
      <c r="B502" s="11"/>
      <c r="C502" s="11"/>
      <c r="D502" s="11"/>
      <c r="E502" s="11"/>
      <c r="F502" s="11"/>
      <c r="G502" s="11"/>
      <c r="H502" s="11"/>
      <c r="I502" s="11"/>
      <c r="J502" s="11"/>
      <c r="K502" s="11"/>
      <c r="L502" s="15"/>
      <c r="M502" s="15"/>
      <c r="N502" s="15"/>
      <c r="O502" s="15"/>
      <c r="P502" s="15"/>
      <c r="Q502" s="11"/>
      <c r="R502" s="11"/>
      <c r="S502" s="11"/>
      <c r="T502" s="11"/>
      <c r="U502" s="15"/>
      <c r="V502" s="11"/>
      <c r="W502" s="11"/>
      <c r="X502" s="11"/>
      <c r="Y502" s="11"/>
      <c r="Z502" s="11"/>
    </row>
    <row r="503">
      <c r="A503" s="18"/>
      <c r="B503" s="11"/>
      <c r="C503" s="11"/>
      <c r="D503" s="11"/>
      <c r="E503" s="11"/>
      <c r="F503" s="11"/>
      <c r="G503" s="11"/>
      <c r="H503" s="11"/>
      <c r="I503" s="11"/>
      <c r="J503" s="11"/>
      <c r="K503" s="11"/>
      <c r="L503" s="15"/>
      <c r="M503" s="15"/>
      <c r="N503" s="15"/>
      <c r="O503" s="15"/>
      <c r="P503" s="15"/>
      <c r="Q503" s="11"/>
      <c r="R503" s="11"/>
      <c r="S503" s="11"/>
      <c r="T503" s="11"/>
      <c r="U503" s="15"/>
      <c r="V503" s="11"/>
      <c r="W503" s="11"/>
      <c r="X503" s="11"/>
      <c r="Y503" s="11"/>
      <c r="Z503" s="11"/>
    </row>
    <row r="504">
      <c r="A504" s="18"/>
      <c r="B504" s="11"/>
      <c r="C504" s="11"/>
      <c r="D504" s="11"/>
      <c r="E504" s="11"/>
      <c r="F504" s="11"/>
      <c r="G504" s="11"/>
      <c r="H504" s="11"/>
      <c r="I504" s="11"/>
      <c r="J504" s="11"/>
      <c r="K504" s="11"/>
      <c r="L504" s="15"/>
      <c r="M504" s="15"/>
      <c r="N504" s="15"/>
      <c r="O504" s="15"/>
      <c r="P504" s="15"/>
      <c r="Q504" s="11"/>
      <c r="R504" s="11"/>
      <c r="S504" s="11"/>
      <c r="T504" s="11"/>
      <c r="U504" s="15"/>
      <c r="V504" s="11"/>
      <c r="W504" s="11"/>
      <c r="X504" s="11"/>
      <c r="Y504" s="11"/>
      <c r="Z504" s="11"/>
    </row>
    <row r="505">
      <c r="A505" s="18"/>
      <c r="B505" s="11"/>
      <c r="C505" s="11"/>
      <c r="D505" s="11"/>
      <c r="E505" s="11"/>
      <c r="F505" s="11"/>
      <c r="G505" s="11"/>
      <c r="H505" s="11"/>
      <c r="I505" s="11"/>
      <c r="J505" s="11"/>
      <c r="K505" s="11"/>
      <c r="L505" s="15"/>
      <c r="M505" s="15"/>
      <c r="N505" s="15"/>
      <c r="O505" s="15"/>
      <c r="P505" s="15"/>
      <c r="Q505" s="11"/>
      <c r="R505" s="11"/>
      <c r="S505" s="11"/>
      <c r="T505" s="11"/>
      <c r="U505" s="15"/>
      <c r="V505" s="11"/>
      <c r="W505" s="11"/>
      <c r="X505" s="11"/>
      <c r="Y505" s="11"/>
      <c r="Z505" s="11"/>
    </row>
    <row r="506">
      <c r="A506" s="18"/>
      <c r="B506" s="11"/>
      <c r="C506" s="11"/>
      <c r="D506" s="11"/>
      <c r="E506" s="11"/>
      <c r="F506" s="11"/>
      <c r="G506" s="11"/>
      <c r="H506" s="11"/>
      <c r="I506" s="11"/>
      <c r="J506" s="11"/>
      <c r="K506" s="11"/>
      <c r="L506" s="15"/>
      <c r="M506" s="15"/>
      <c r="N506" s="15"/>
      <c r="O506" s="15"/>
      <c r="P506" s="15"/>
      <c r="Q506" s="11"/>
      <c r="R506" s="11"/>
      <c r="S506" s="11"/>
      <c r="T506" s="11"/>
      <c r="U506" s="15"/>
      <c r="V506" s="11"/>
      <c r="W506" s="11"/>
      <c r="X506" s="11"/>
      <c r="Y506" s="11"/>
      <c r="Z506" s="11"/>
    </row>
    <row r="507">
      <c r="A507" s="18"/>
      <c r="B507" s="11"/>
      <c r="C507" s="11"/>
      <c r="D507" s="11"/>
      <c r="E507" s="11"/>
      <c r="F507" s="11"/>
      <c r="G507" s="11"/>
      <c r="H507" s="11"/>
      <c r="I507" s="11"/>
      <c r="J507" s="11"/>
      <c r="K507" s="11"/>
      <c r="L507" s="15"/>
      <c r="M507" s="15"/>
      <c r="N507" s="15"/>
      <c r="O507" s="15"/>
      <c r="P507" s="15"/>
      <c r="Q507" s="11"/>
      <c r="R507" s="11"/>
      <c r="S507" s="11"/>
      <c r="T507" s="11"/>
      <c r="U507" s="15"/>
      <c r="V507" s="11"/>
      <c r="W507" s="11"/>
      <c r="X507" s="11"/>
      <c r="Y507" s="11"/>
      <c r="Z507" s="11"/>
    </row>
    <row r="508">
      <c r="A508" s="18"/>
      <c r="B508" s="11"/>
      <c r="C508" s="11"/>
      <c r="D508" s="11"/>
      <c r="E508" s="11"/>
      <c r="F508" s="11"/>
      <c r="G508" s="11"/>
      <c r="H508" s="11"/>
      <c r="I508" s="11"/>
      <c r="J508" s="11"/>
      <c r="K508" s="11"/>
      <c r="L508" s="15"/>
      <c r="M508" s="15"/>
      <c r="N508" s="15"/>
      <c r="O508" s="15"/>
      <c r="P508" s="15"/>
      <c r="Q508" s="11"/>
      <c r="R508" s="11"/>
      <c r="S508" s="11"/>
      <c r="T508" s="11"/>
      <c r="U508" s="15"/>
      <c r="V508" s="11"/>
      <c r="W508" s="11"/>
      <c r="X508" s="11"/>
      <c r="Y508" s="11"/>
      <c r="Z508" s="11"/>
    </row>
    <row r="509">
      <c r="A509" s="18"/>
      <c r="B509" s="11"/>
      <c r="C509" s="11"/>
      <c r="D509" s="11"/>
      <c r="E509" s="11"/>
      <c r="F509" s="11"/>
      <c r="G509" s="11"/>
      <c r="H509" s="11"/>
      <c r="I509" s="11"/>
      <c r="J509" s="11"/>
      <c r="K509" s="11"/>
      <c r="L509" s="15"/>
      <c r="M509" s="15"/>
      <c r="N509" s="15"/>
      <c r="O509" s="15"/>
      <c r="P509" s="15"/>
      <c r="Q509" s="11"/>
      <c r="R509" s="11"/>
      <c r="S509" s="11"/>
      <c r="T509" s="11"/>
      <c r="U509" s="15"/>
      <c r="V509" s="11"/>
      <c r="W509" s="11"/>
      <c r="X509" s="11"/>
      <c r="Y509" s="11"/>
      <c r="Z509" s="11"/>
    </row>
    <row r="510">
      <c r="A510" s="18"/>
      <c r="B510" s="11"/>
      <c r="C510" s="11"/>
      <c r="D510" s="11"/>
      <c r="E510" s="11"/>
      <c r="F510" s="11"/>
      <c r="G510" s="11"/>
      <c r="H510" s="11"/>
      <c r="I510" s="11"/>
      <c r="J510" s="11"/>
      <c r="K510" s="11"/>
      <c r="L510" s="15"/>
      <c r="M510" s="15"/>
      <c r="N510" s="15"/>
      <c r="O510" s="15"/>
      <c r="P510" s="15"/>
      <c r="Q510" s="11"/>
      <c r="R510" s="11"/>
      <c r="S510" s="11"/>
      <c r="T510" s="11"/>
      <c r="U510" s="15"/>
      <c r="V510" s="11"/>
      <c r="W510" s="11"/>
      <c r="X510" s="11"/>
      <c r="Y510" s="11"/>
      <c r="Z510" s="11"/>
    </row>
    <row r="511">
      <c r="A511" s="18"/>
      <c r="B511" s="11"/>
      <c r="C511" s="11"/>
      <c r="D511" s="11"/>
      <c r="E511" s="11"/>
      <c r="F511" s="11"/>
      <c r="G511" s="11"/>
      <c r="H511" s="11"/>
      <c r="I511" s="11"/>
      <c r="J511" s="11"/>
      <c r="K511" s="11"/>
      <c r="L511" s="15"/>
      <c r="M511" s="15"/>
      <c r="N511" s="15"/>
      <c r="O511" s="15"/>
      <c r="P511" s="15"/>
      <c r="Q511" s="11"/>
      <c r="R511" s="11"/>
      <c r="S511" s="11"/>
      <c r="T511" s="11"/>
      <c r="U511" s="15"/>
      <c r="V511" s="11"/>
      <c r="W511" s="11"/>
      <c r="X511" s="11"/>
      <c r="Y511" s="11"/>
      <c r="Z511" s="11"/>
    </row>
    <row r="512">
      <c r="A512" s="18"/>
      <c r="B512" s="11"/>
      <c r="C512" s="11"/>
      <c r="D512" s="11"/>
      <c r="E512" s="11"/>
      <c r="F512" s="11"/>
      <c r="G512" s="11"/>
      <c r="H512" s="11"/>
      <c r="I512" s="11"/>
      <c r="J512" s="11"/>
      <c r="K512" s="11"/>
      <c r="L512" s="15"/>
      <c r="M512" s="15"/>
      <c r="N512" s="15"/>
      <c r="O512" s="15"/>
      <c r="P512" s="15"/>
      <c r="Q512" s="11"/>
      <c r="R512" s="11"/>
      <c r="S512" s="11"/>
      <c r="T512" s="11"/>
      <c r="U512" s="15"/>
      <c r="V512" s="11"/>
      <c r="W512" s="11"/>
      <c r="X512" s="11"/>
      <c r="Y512" s="11"/>
      <c r="Z512" s="11"/>
    </row>
    <row r="513">
      <c r="A513" s="18"/>
      <c r="B513" s="11"/>
      <c r="C513" s="11"/>
      <c r="D513" s="11"/>
      <c r="E513" s="11"/>
      <c r="F513" s="11"/>
      <c r="G513" s="11"/>
      <c r="H513" s="11"/>
      <c r="I513" s="11"/>
      <c r="J513" s="11"/>
      <c r="K513" s="11"/>
      <c r="L513" s="15"/>
      <c r="M513" s="15"/>
      <c r="N513" s="15"/>
      <c r="O513" s="15"/>
      <c r="P513" s="15"/>
      <c r="Q513" s="11"/>
      <c r="R513" s="11"/>
      <c r="S513" s="11"/>
      <c r="T513" s="11"/>
      <c r="U513" s="15"/>
      <c r="V513" s="11"/>
      <c r="W513" s="11"/>
      <c r="X513" s="11"/>
      <c r="Y513" s="11"/>
      <c r="Z513" s="11"/>
    </row>
    <row r="514">
      <c r="A514" s="18"/>
      <c r="B514" s="11"/>
      <c r="C514" s="11"/>
      <c r="D514" s="11"/>
      <c r="E514" s="11"/>
      <c r="F514" s="11"/>
      <c r="G514" s="11"/>
      <c r="H514" s="11"/>
      <c r="I514" s="11"/>
      <c r="J514" s="11"/>
      <c r="K514" s="11"/>
      <c r="L514" s="15"/>
      <c r="M514" s="15"/>
      <c r="N514" s="15"/>
      <c r="O514" s="15"/>
      <c r="P514" s="15"/>
      <c r="Q514" s="11"/>
      <c r="R514" s="11"/>
      <c r="S514" s="11"/>
      <c r="T514" s="11"/>
      <c r="U514" s="15"/>
      <c r="V514" s="11"/>
      <c r="W514" s="11"/>
      <c r="X514" s="11"/>
      <c r="Y514" s="11"/>
      <c r="Z514" s="11"/>
    </row>
    <row r="515">
      <c r="A515" s="18"/>
      <c r="B515" s="11"/>
      <c r="C515" s="11"/>
      <c r="D515" s="11"/>
      <c r="E515" s="11"/>
      <c r="F515" s="11"/>
      <c r="G515" s="11"/>
      <c r="H515" s="11"/>
      <c r="I515" s="11"/>
      <c r="J515" s="11"/>
      <c r="K515" s="11"/>
      <c r="L515" s="15"/>
      <c r="M515" s="15"/>
      <c r="N515" s="15"/>
      <c r="O515" s="15"/>
      <c r="P515" s="15"/>
      <c r="Q515" s="11"/>
      <c r="R515" s="11"/>
      <c r="S515" s="11"/>
      <c r="T515" s="11"/>
      <c r="U515" s="15"/>
      <c r="V515" s="11"/>
      <c r="W515" s="11"/>
      <c r="X515" s="11"/>
      <c r="Y515" s="11"/>
      <c r="Z515" s="11"/>
    </row>
    <row r="516">
      <c r="A516" s="18"/>
      <c r="B516" s="11"/>
      <c r="C516" s="11"/>
      <c r="D516" s="11"/>
      <c r="E516" s="11"/>
      <c r="F516" s="11"/>
      <c r="G516" s="11"/>
      <c r="H516" s="11"/>
      <c r="I516" s="11"/>
      <c r="J516" s="11"/>
      <c r="K516" s="11"/>
      <c r="L516" s="15"/>
      <c r="M516" s="15"/>
      <c r="N516" s="15"/>
      <c r="O516" s="15"/>
      <c r="P516" s="15"/>
      <c r="Q516" s="11"/>
      <c r="R516" s="11"/>
      <c r="S516" s="11"/>
      <c r="T516" s="11"/>
      <c r="U516" s="15"/>
      <c r="V516" s="11"/>
      <c r="W516" s="11"/>
      <c r="X516" s="11"/>
      <c r="Y516" s="11"/>
      <c r="Z516" s="11"/>
    </row>
    <row r="517">
      <c r="A517" s="18"/>
      <c r="B517" s="11"/>
      <c r="C517" s="11"/>
      <c r="D517" s="11"/>
      <c r="E517" s="11"/>
      <c r="F517" s="11"/>
      <c r="G517" s="11"/>
      <c r="H517" s="11"/>
      <c r="I517" s="11"/>
      <c r="J517" s="11"/>
      <c r="K517" s="11"/>
      <c r="L517" s="15"/>
      <c r="M517" s="15"/>
      <c r="N517" s="15"/>
      <c r="O517" s="15"/>
      <c r="P517" s="15"/>
      <c r="Q517" s="11"/>
      <c r="R517" s="11"/>
      <c r="S517" s="11"/>
      <c r="T517" s="11"/>
      <c r="U517" s="15"/>
      <c r="V517" s="11"/>
      <c r="W517" s="11"/>
      <c r="X517" s="11"/>
      <c r="Y517" s="11"/>
      <c r="Z517" s="11"/>
    </row>
    <row r="518">
      <c r="A518" s="18"/>
      <c r="B518" s="11"/>
      <c r="C518" s="11"/>
      <c r="D518" s="11"/>
      <c r="E518" s="11"/>
      <c r="F518" s="11"/>
      <c r="G518" s="11"/>
      <c r="H518" s="11"/>
      <c r="I518" s="11"/>
      <c r="J518" s="11"/>
      <c r="K518" s="11"/>
      <c r="L518" s="15"/>
      <c r="M518" s="15"/>
      <c r="N518" s="15"/>
      <c r="O518" s="15"/>
      <c r="P518" s="15"/>
      <c r="Q518" s="11"/>
      <c r="R518" s="11"/>
      <c r="S518" s="11"/>
      <c r="T518" s="11"/>
      <c r="U518" s="15"/>
      <c r="V518" s="11"/>
      <c r="W518" s="11"/>
      <c r="X518" s="11"/>
      <c r="Y518" s="11"/>
      <c r="Z518" s="11"/>
    </row>
    <row r="519">
      <c r="A519" s="18"/>
      <c r="B519" s="11"/>
      <c r="C519" s="11"/>
      <c r="D519" s="11"/>
      <c r="E519" s="11"/>
      <c r="F519" s="11"/>
      <c r="G519" s="11"/>
      <c r="H519" s="11"/>
      <c r="I519" s="11"/>
      <c r="J519" s="11"/>
      <c r="K519" s="11"/>
      <c r="L519" s="15"/>
      <c r="M519" s="15"/>
      <c r="N519" s="15"/>
      <c r="O519" s="15"/>
      <c r="P519" s="15"/>
      <c r="Q519" s="11"/>
      <c r="R519" s="11"/>
      <c r="S519" s="11"/>
      <c r="T519" s="11"/>
      <c r="U519" s="15"/>
      <c r="V519" s="11"/>
      <c r="W519" s="11"/>
      <c r="X519" s="11"/>
      <c r="Y519" s="11"/>
      <c r="Z519" s="11"/>
    </row>
    <row r="520">
      <c r="A520" s="18"/>
      <c r="B520" s="11"/>
      <c r="C520" s="11"/>
      <c r="D520" s="11"/>
      <c r="E520" s="11"/>
      <c r="F520" s="11"/>
      <c r="G520" s="11"/>
      <c r="H520" s="11"/>
      <c r="I520" s="11"/>
      <c r="J520" s="11"/>
      <c r="K520" s="11"/>
      <c r="L520" s="15"/>
      <c r="M520" s="15"/>
      <c r="N520" s="15"/>
      <c r="O520" s="15"/>
      <c r="P520" s="15"/>
      <c r="Q520" s="11"/>
      <c r="R520" s="11"/>
      <c r="S520" s="11"/>
      <c r="T520" s="11"/>
      <c r="U520" s="15"/>
      <c r="V520" s="11"/>
      <c r="W520" s="11"/>
      <c r="X520" s="11"/>
      <c r="Y520" s="11"/>
      <c r="Z520" s="11"/>
    </row>
    <row r="521">
      <c r="A521" s="18"/>
      <c r="B521" s="11"/>
      <c r="C521" s="11"/>
      <c r="D521" s="11"/>
      <c r="E521" s="11"/>
      <c r="F521" s="11"/>
      <c r="G521" s="11"/>
      <c r="H521" s="11"/>
      <c r="I521" s="11"/>
      <c r="J521" s="11"/>
      <c r="K521" s="11"/>
      <c r="L521" s="15"/>
      <c r="M521" s="15"/>
      <c r="N521" s="15"/>
      <c r="O521" s="15"/>
      <c r="P521" s="15"/>
      <c r="Q521" s="11"/>
      <c r="R521" s="11"/>
      <c r="S521" s="11"/>
      <c r="T521" s="11"/>
      <c r="U521" s="15"/>
      <c r="V521" s="11"/>
      <c r="W521" s="11"/>
      <c r="X521" s="11"/>
      <c r="Y521" s="11"/>
      <c r="Z521" s="11"/>
    </row>
    <row r="522">
      <c r="A522" s="18"/>
      <c r="B522" s="11"/>
      <c r="C522" s="11"/>
      <c r="D522" s="11"/>
      <c r="E522" s="11"/>
      <c r="F522" s="11"/>
      <c r="G522" s="11"/>
      <c r="H522" s="11"/>
      <c r="I522" s="11"/>
      <c r="J522" s="11"/>
      <c r="K522" s="11"/>
      <c r="L522" s="15"/>
      <c r="M522" s="15"/>
      <c r="N522" s="15"/>
      <c r="O522" s="15"/>
      <c r="P522" s="15"/>
      <c r="Q522" s="11"/>
      <c r="R522" s="11"/>
      <c r="S522" s="11"/>
      <c r="T522" s="11"/>
      <c r="U522" s="15"/>
      <c r="V522" s="11"/>
      <c r="W522" s="11"/>
      <c r="X522" s="11"/>
      <c r="Y522" s="11"/>
      <c r="Z522" s="11"/>
    </row>
    <row r="523">
      <c r="A523" s="18"/>
      <c r="B523" s="11"/>
      <c r="C523" s="11"/>
      <c r="D523" s="11"/>
      <c r="E523" s="11"/>
      <c r="F523" s="11"/>
      <c r="G523" s="11"/>
      <c r="H523" s="11"/>
      <c r="I523" s="11"/>
      <c r="J523" s="11"/>
      <c r="K523" s="11"/>
      <c r="L523" s="15"/>
      <c r="M523" s="15"/>
      <c r="N523" s="15"/>
      <c r="O523" s="15"/>
      <c r="P523" s="15"/>
      <c r="Q523" s="11"/>
      <c r="R523" s="11"/>
      <c r="S523" s="11"/>
      <c r="T523" s="11"/>
      <c r="U523" s="15"/>
      <c r="V523" s="11"/>
      <c r="W523" s="11"/>
      <c r="X523" s="11"/>
      <c r="Y523" s="11"/>
      <c r="Z523" s="11"/>
    </row>
    <row r="524">
      <c r="A524" s="18"/>
      <c r="B524" s="11"/>
      <c r="C524" s="11"/>
      <c r="D524" s="11"/>
      <c r="E524" s="11"/>
      <c r="F524" s="11"/>
      <c r="G524" s="11"/>
      <c r="H524" s="11"/>
      <c r="I524" s="11"/>
      <c r="J524" s="11"/>
      <c r="K524" s="11"/>
      <c r="L524" s="15"/>
      <c r="M524" s="15"/>
      <c r="N524" s="15"/>
      <c r="O524" s="15"/>
      <c r="P524" s="15"/>
      <c r="Q524" s="11"/>
      <c r="R524" s="11"/>
      <c r="S524" s="11"/>
      <c r="T524" s="11"/>
      <c r="U524" s="15"/>
      <c r="V524" s="11"/>
      <c r="W524" s="11"/>
      <c r="X524" s="11"/>
      <c r="Y524" s="11"/>
      <c r="Z524" s="11"/>
    </row>
    <row r="525">
      <c r="A525" s="18"/>
      <c r="B525" s="11"/>
      <c r="C525" s="11"/>
      <c r="D525" s="11"/>
      <c r="E525" s="11"/>
      <c r="F525" s="11"/>
      <c r="G525" s="11"/>
      <c r="H525" s="11"/>
      <c r="I525" s="11"/>
      <c r="J525" s="11"/>
      <c r="K525" s="11"/>
      <c r="L525" s="15"/>
      <c r="M525" s="15"/>
      <c r="N525" s="15"/>
      <c r="O525" s="15"/>
      <c r="P525" s="15"/>
      <c r="Q525" s="11"/>
      <c r="R525" s="11"/>
      <c r="S525" s="11"/>
      <c r="T525" s="11"/>
      <c r="U525" s="15"/>
      <c r="V525" s="11"/>
      <c r="W525" s="11"/>
      <c r="X525" s="11"/>
      <c r="Y525" s="11"/>
      <c r="Z525" s="11"/>
    </row>
    <row r="526">
      <c r="A526" s="18"/>
      <c r="B526" s="11"/>
      <c r="C526" s="11"/>
      <c r="D526" s="11"/>
      <c r="E526" s="11"/>
      <c r="F526" s="11"/>
      <c r="G526" s="11"/>
      <c r="H526" s="11"/>
      <c r="I526" s="11"/>
      <c r="J526" s="11"/>
      <c r="K526" s="11"/>
      <c r="L526" s="15"/>
      <c r="M526" s="15"/>
      <c r="N526" s="15"/>
      <c r="O526" s="15"/>
      <c r="P526" s="15"/>
      <c r="Q526" s="11"/>
      <c r="R526" s="11"/>
      <c r="S526" s="11"/>
      <c r="T526" s="11"/>
      <c r="U526" s="15"/>
      <c r="V526" s="11"/>
      <c r="W526" s="11"/>
      <c r="X526" s="11"/>
      <c r="Y526" s="11"/>
      <c r="Z526" s="11"/>
    </row>
    <row r="527">
      <c r="A527" s="18"/>
      <c r="B527" s="11"/>
      <c r="C527" s="11"/>
      <c r="D527" s="11"/>
      <c r="E527" s="11"/>
      <c r="F527" s="11"/>
      <c r="G527" s="11"/>
      <c r="H527" s="11"/>
      <c r="I527" s="11"/>
      <c r="J527" s="11"/>
      <c r="K527" s="11"/>
      <c r="L527" s="15"/>
      <c r="M527" s="15"/>
      <c r="N527" s="15"/>
      <c r="O527" s="15"/>
      <c r="P527" s="15"/>
      <c r="Q527" s="11"/>
      <c r="R527" s="11"/>
      <c r="S527" s="11"/>
      <c r="T527" s="11"/>
      <c r="U527" s="15"/>
      <c r="V527" s="11"/>
      <c r="W527" s="11"/>
      <c r="X527" s="11"/>
      <c r="Y527" s="11"/>
      <c r="Z527" s="11"/>
    </row>
    <row r="528">
      <c r="A528" s="18"/>
      <c r="B528" s="11"/>
      <c r="C528" s="11"/>
      <c r="D528" s="11"/>
      <c r="E528" s="11"/>
      <c r="F528" s="11"/>
      <c r="G528" s="11"/>
      <c r="H528" s="11"/>
      <c r="I528" s="11"/>
      <c r="J528" s="11"/>
      <c r="K528" s="11"/>
      <c r="L528" s="15"/>
      <c r="M528" s="15"/>
      <c r="N528" s="15"/>
      <c r="O528" s="15"/>
      <c r="P528" s="15"/>
      <c r="Q528" s="11"/>
      <c r="R528" s="11"/>
      <c r="S528" s="11"/>
      <c r="T528" s="11"/>
      <c r="U528" s="15"/>
      <c r="V528" s="11"/>
      <c r="W528" s="11"/>
      <c r="X528" s="11"/>
      <c r="Y528" s="11"/>
      <c r="Z528" s="11"/>
    </row>
    <row r="529">
      <c r="A529" s="18"/>
      <c r="B529" s="11"/>
      <c r="C529" s="11"/>
      <c r="D529" s="11"/>
      <c r="E529" s="11"/>
      <c r="F529" s="11"/>
      <c r="G529" s="11"/>
      <c r="H529" s="11"/>
      <c r="I529" s="11"/>
      <c r="J529" s="11"/>
      <c r="K529" s="11"/>
      <c r="L529" s="15"/>
      <c r="M529" s="15"/>
      <c r="N529" s="15"/>
      <c r="O529" s="15"/>
      <c r="P529" s="15"/>
      <c r="Q529" s="11"/>
      <c r="R529" s="11"/>
      <c r="S529" s="11"/>
      <c r="T529" s="11"/>
      <c r="U529" s="15"/>
      <c r="V529" s="11"/>
      <c r="W529" s="11"/>
      <c r="X529" s="11"/>
      <c r="Y529" s="11"/>
      <c r="Z529" s="11"/>
    </row>
    <row r="530">
      <c r="A530" s="18"/>
      <c r="B530" s="11"/>
      <c r="C530" s="11"/>
      <c r="D530" s="11"/>
      <c r="E530" s="11"/>
      <c r="F530" s="11"/>
      <c r="G530" s="11"/>
      <c r="H530" s="11"/>
      <c r="I530" s="11"/>
      <c r="J530" s="11"/>
      <c r="K530" s="11"/>
      <c r="L530" s="15"/>
      <c r="M530" s="15"/>
      <c r="N530" s="15"/>
      <c r="O530" s="15"/>
      <c r="P530" s="15"/>
      <c r="Q530" s="11"/>
      <c r="R530" s="11"/>
      <c r="S530" s="11"/>
      <c r="T530" s="11"/>
      <c r="U530" s="15"/>
      <c r="V530" s="11"/>
      <c r="W530" s="11"/>
      <c r="X530" s="11"/>
      <c r="Y530" s="11"/>
      <c r="Z530" s="11"/>
    </row>
    <row r="531">
      <c r="A531" s="18"/>
      <c r="B531" s="11"/>
      <c r="C531" s="11"/>
      <c r="D531" s="11"/>
      <c r="E531" s="11"/>
      <c r="F531" s="11"/>
      <c r="G531" s="11"/>
      <c r="H531" s="11"/>
      <c r="I531" s="11"/>
      <c r="J531" s="11"/>
      <c r="K531" s="11"/>
      <c r="L531" s="15"/>
      <c r="M531" s="15"/>
      <c r="N531" s="15"/>
      <c r="O531" s="15"/>
      <c r="P531" s="15"/>
      <c r="Q531" s="11"/>
      <c r="R531" s="11"/>
      <c r="S531" s="11"/>
      <c r="T531" s="11"/>
      <c r="U531" s="15"/>
      <c r="V531" s="11"/>
      <c r="W531" s="11"/>
      <c r="X531" s="11"/>
      <c r="Y531" s="11"/>
      <c r="Z531" s="11"/>
    </row>
    <row r="532">
      <c r="A532" s="18"/>
      <c r="B532" s="11"/>
      <c r="C532" s="11"/>
      <c r="D532" s="11"/>
      <c r="E532" s="11"/>
      <c r="F532" s="11"/>
      <c r="G532" s="11"/>
      <c r="H532" s="11"/>
      <c r="I532" s="11"/>
      <c r="J532" s="11"/>
      <c r="K532" s="11"/>
      <c r="L532" s="15"/>
      <c r="M532" s="15"/>
      <c r="N532" s="15"/>
      <c r="O532" s="15"/>
      <c r="P532" s="15"/>
      <c r="Q532" s="11"/>
      <c r="R532" s="11"/>
      <c r="S532" s="11"/>
      <c r="T532" s="11"/>
      <c r="U532" s="15"/>
      <c r="V532" s="11"/>
      <c r="W532" s="11"/>
      <c r="X532" s="11"/>
      <c r="Y532" s="11"/>
      <c r="Z532" s="11"/>
    </row>
    <row r="533">
      <c r="A533" s="18"/>
      <c r="B533" s="11"/>
      <c r="C533" s="11"/>
      <c r="D533" s="11"/>
      <c r="E533" s="11"/>
      <c r="F533" s="11"/>
      <c r="G533" s="11"/>
      <c r="H533" s="11"/>
      <c r="I533" s="11"/>
      <c r="J533" s="11"/>
      <c r="K533" s="11"/>
      <c r="L533" s="15"/>
      <c r="M533" s="15"/>
      <c r="N533" s="15"/>
      <c r="O533" s="15"/>
      <c r="P533" s="15"/>
      <c r="Q533" s="11"/>
      <c r="R533" s="11"/>
      <c r="S533" s="11"/>
      <c r="T533" s="11"/>
      <c r="U533" s="15"/>
      <c r="V533" s="11"/>
      <c r="W533" s="11"/>
      <c r="X533" s="11"/>
      <c r="Y533" s="11"/>
      <c r="Z533" s="11"/>
    </row>
    <row r="534">
      <c r="A534" s="18"/>
      <c r="B534" s="11"/>
      <c r="C534" s="11"/>
      <c r="D534" s="11"/>
      <c r="E534" s="11"/>
      <c r="F534" s="11"/>
      <c r="G534" s="11"/>
      <c r="H534" s="11"/>
      <c r="I534" s="11"/>
      <c r="J534" s="11"/>
      <c r="K534" s="11"/>
      <c r="L534" s="15"/>
      <c r="M534" s="15"/>
      <c r="N534" s="15"/>
      <c r="O534" s="15"/>
      <c r="P534" s="15"/>
      <c r="Q534" s="11"/>
      <c r="R534" s="11"/>
      <c r="S534" s="11"/>
      <c r="T534" s="11"/>
      <c r="U534" s="15"/>
      <c r="V534" s="11"/>
      <c r="W534" s="11"/>
      <c r="X534" s="11"/>
      <c r="Y534" s="11"/>
      <c r="Z534" s="11"/>
    </row>
    <row r="535">
      <c r="A535" s="18"/>
      <c r="B535" s="11"/>
      <c r="C535" s="11"/>
      <c r="D535" s="11"/>
      <c r="E535" s="11"/>
      <c r="F535" s="11"/>
      <c r="G535" s="11"/>
      <c r="H535" s="11"/>
      <c r="I535" s="11"/>
      <c r="J535" s="11"/>
      <c r="K535" s="11"/>
      <c r="L535" s="15"/>
      <c r="M535" s="15"/>
      <c r="N535" s="15"/>
      <c r="O535" s="15"/>
      <c r="P535" s="15"/>
      <c r="Q535" s="11"/>
      <c r="R535" s="11"/>
      <c r="S535" s="11"/>
      <c r="T535" s="11"/>
      <c r="U535" s="15"/>
      <c r="V535" s="11"/>
      <c r="W535" s="11"/>
      <c r="X535" s="11"/>
      <c r="Y535" s="11"/>
      <c r="Z535" s="11"/>
    </row>
    <row r="536">
      <c r="A536" s="18"/>
      <c r="B536" s="11"/>
      <c r="C536" s="11"/>
      <c r="D536" s="11"/>
      <c r="E536" s="11"/>
      <c r="F536" s="11"/>
      <c r="G536" s="11"/>
      <c r="H536" s="11"/>
      <c r="I536" s="11"/>
      <c r="J536" s="11"/>
      <c r="K536" s="11"/>
      <c r="L536" s="15"/>
      <c r="M536" s="15"/>
      <c r="N536" s="15"/>
      <c r="O536" s="15"/>
      <c r="P536" s="15"/>
      <c r="Q536" s="11"/>
      <c r="R536" s="11"/>
      <c r="S536" s="11"/>
      <c r="T536" s="11"/>
      <c r="U536" s="15"/>
      <c r="V536" s="11"/>
      <c r="W536" s="11"/>
      <c r="X536" s="11"/>
      <c r="Y536" s="11"/>
      <c r="Z536" s="11"/>
    </row>
    <row r="537">
      <c r="A537" s="18"/>
      <c r="B537" s="11"/>
      <c r="C537" s="11"/>
      <c r="D537" s="11"/>
      <c r="E537" s="11"/>
      <c r="F537" s="11"/>
      <c r="G537" s="11"/>
      <c r="H537" s="11"/>
      <c r="I537" s="11"/>
      <c r="J537" s="11"/>
      <c r="K537" s="11"/>
      <c r="L537" s="15"/>
      <c r="M537" s="15"/>
      <c r="N537" s="15"/>
      <c r="O537" s="15"/>
      <c r="P537" s="15"/>
      <c r="Q537" s="11"/>
      <c r="R537" s="11"/>
      <c r="S537" s="11"/>
      <c r="T537" s="11"/>
      <c r="U537" s="15"/>
      <c r="V537" s="11"/>
      <c r="W537" s="11"/>
      <c r="X537" s="11"/>
      <c r="Y537" s="11"/>
      <c r="Z537" s="11"/>
    </row>
    <row r="538">
      <c r="A538" s="18"/>
      <c r="B538" s="11"/>
      <c r="C538" s="11"/>
      <c r="D538" s="11"/>
      <c r="E538" s="11"/>
      <c r="F538" s="11"/>
      <c r="G538" s="11"/>
      <c r="H538" s="11"/>
      <c r="I538" s="11"/>
      <c r="J538" s="11"/>
      <c r="K538" s="11"/>
      <c r="L538" s="15"/>
      <c r="M538" s="15"/>
      <c r="N538" s="15"/>
      <c r="O538" s="15"/>
      <c r="P538" s="15"/>
      <c r="Q538" s="11"/>
      <c r="R538" s="11"/>
      <c r="S538" s="11"/>
      <c r="T538" s="11"/>
      <c r="U538" s="15"/>
      <c r="V538" s="11"/>
      <c r="W538" s="11"/>
      <c r="X538" s="11"/>
      <c r="Y538" s="11"/>
      <c r="Z538" s="11"/>
    </row>
    <row r="539">
      <c r="A539" s="18"/>
      <c r="B539" s="11"/>
      <c r="C539" s="11"/>
      <c r="D539" s="11"/>
      <c r="E539" s="11"/>
      <c r="F539" s="11"/>
      <c r="G539" s="11"/>
      <c r="H539" s="11"/>
      <c r="I539" s="11"/>
      <c r="J539" s="11"/>
      <c r="K539" s="11"/>
      <c r="L539" s="15"/>
      <c r="M539" s="15"/>
      <c r="N539" s="15"/>
      <c r="O539" s="15"/>
      <c r="P539" s="15"/>
      <c r="Q539" s="11"/>
      <c r="R539" s="11"/>
      <c r="S539" s="11"/>
      <c r="T539" s="11"/>
      <c r="U539" s="15"/>
      <c r="V539" s="11"/>
      <c r="W539" s="11"/>
      <c r="X539" s="11"/>
      <c r="Y539" s="11"/>
      <c r="Z539" s="11"/>
    </row>
    <row r="540">
      <c r="A540" s="18"/>
      <c r="B540" s="11"/>
      <c r="C540" s="11"/>
      <c r="D540" s="11"/>
      <c r="E540" s="11"/>
      <c r="F540" s="11"/>
      <c r="G540" s="11"/>
      <c r="H540" s="11"/>
      <c r="I540" s="11"/>
      <c r="J540" s="11"/>
      <c r="K540" s="11"/>
      <c r="L540" s="15"/>
      <c r="M540" s="15"/>
      <c r="N540" s="15"/>
      <c r="O540" s="15"/>
      <c r="P540" s="15"/>
      <c r="Q540" s="11"/>
      <c r="R540" s="11"/>
      <c r="S540" s="11"/>
      <c r="T540" s="11"/>
      <c r="U540" s="15"/>
      <c r="V540" s="11"/>
      <c r="W540" s="11"/>
      <c r="X540" s="11"/>
      <c r="Y540" s="11"/>
      <c r="Z540" s="11"/>
    </row>
    <row r="541">
      <c r="A541" s="18"/>
      <c r="B541" s="11"/>
      <c r="C541" s="11"/>
      <c r="D541" s="11"/>
      <c r="E541" s="11"/>
      <c r="F541" s="11"/>
      <c r="G541" s="11"/>
      <c r="H541" s="11"/>
      <c r="I541" s="11"/>
      <c r="J541" s="11"/>
      <c r="K541" s="11"/>
      <c r="L541" s="15"/>
      <c r="M541" s="15"/>
      <c r="N541" s="15"/>
      <c r="O541" s="15"/>
      <c r="P541" s="15"/>
      <c r="Q541" s="11"/>
      <c r="R541" s="11"/>
      <c r="S541" s="11"/>
      <c r="T541" s="11"/>
      <c r="U541" s="15"/>
      <c r="V541" s="11"/>
      <c r="W541" s="11"/>
      <c r="X541" s="11"/>
      <c r="Y541" s="11"/>
      <c r="Z541" s="11"/>
    </row>
    <row r="542">
      <c r="A542" s="18"/>
      <c r="B542" s="11"/>
      <c r="C542" s="11"/>
      <c r="D542" s="11"/>
      <c r="E542" s="11"/>
      <c r="F542" s="11"/>
      <c r="G542" s="11"/>
      <c r="H542" s="11"/>
      <c r="I542" s="11"/>
      <c r="J542" s="11"/>
      <c r="K542" s="11"/>
      <c r="L542" s="15"/>
      <c r="M542" s="15"/>
      <c r="N542" s="15"/>
      <c r="O542" s="15"/>
      <c r="P542" s="15"/>
      <c r="Q542" s="11"/>
      <c r="R542" s="11"/>
      <c r="S542" s="11"/>
      <c r="T542" s="11"/>
      <c r="U542" s="15"/>
      <c r="V542" s="11"/>
      <c r="W542" s="11"/>
      <c r="X542" s="11"/>
      <c r="Y542" s="11"/>
      <c r="Z542" s="11"/>
    </row>
    <row r="543">
      <c r="A543" s="18"/>
      <c r="B543" s="11"/>
      <c r="C543" s="11"/>
      <c r="D543" s="11"/>
      <c r="E543" s="11"/>
      <c r="F543" s="11"/>
      <c r="G543" s="11"/>
      <c r="H543" s="11"/>
      <c r="I543" s="11"/>
      <c r="J543" s="11"/>
      <c r="K543" s="11"/>
      <c r="L543" s="15"/>
      <c r="M543" s="15"/>
      <c r="N543" s="15"/>
      <c r="O543" s="15"/>
      <c r="P543" s="15"/>
      <c r="Q543" s="11"/>
      <c r="R543" s="11"/>
      <c r="S543" s="11"/>
      <c r="T543" s="11"/>
      <c r="U543" s="15"/>
      <c r="V543" s="11"/>
      <c r="W543" s="11"/>
      <c r="X543" s="11"/>
      <c r="Y543" s="11"/>
      <c r="Z543" s="11"/>
    </row>
    <row r="544">
      <c r="A544" s="18"/>
      <c r="B544" s="11"/>
      <c r="C544" s="11"/>
      <c r="D544" s="11"/>
      <c r="E544" s="11"/>
      <c r="F544" s="11"/>
      <c r="G544" s="11"/>
      <c r="H544" s="11"/>
      <c r="I544" s="11"/>
      <c r="J544" s="11"/>
      <c r="K544" s="11"/>
      <c r="L544" s="15"/>
      <c r="M544" s="15"/>
      <c r="N544" s="15"/>
      <c r="O544" s="15"/>
      <c r="P544" s="15"/>
      <c r="Q544" s="11"/>
      <c r="R544" s="11"/>
      <c r="S544" s="11"/>
      <c r="T544" s="11"/>
      <c r="U544" s="15"/>
      <c r="V544" s="11"/>
      <c r="W544" s="11"/>
      <c r="X544" s="11"/>
      <c r="Y544" s="11"/>
      <c r="Z544" s="11"/>
    </row>
    <row r="545">
      <c r="A545" s="18"/>
      <c r="B545" s="11"/>
      <c r="C545" s="11"/>
      <c r="D545" s="11"/>
      <c r="E545" s="11"/>
      <c r="F545" s="11"/>
      <c r="G545" s="11"/>
      <c r="H545" s="11"/>
      <c r="I545" s="11"/>
      <c r="J545" s="11"/>
      <c r="K545" s="11"/>
      <c r="L545" s="15"/>
      <c r="M545" s="15"/>
      <c r="N545" s="15"/>
      <c r="O545" s="15"/>
      <c r="P545" s="15"/>
      <c r="Q545" s="11"/>
      <c r="R545" s="11"/>
      <c r="S545" s="11"/>
      <c r="T545" s="11"/>
      <c r="U545" s="15"/>
      <c r="V545" s="11"/>
      <c r="W545" s="11"/>
      <c r="X545" s="11"/>
      <c r="Y545" s="11"/>
      <c r="Z545" s="11"/>
    </row>
    <row r="546">
      <c r="A546" s="18"/>
      <c r="B546" s="11"/>
      <c r="C546" s="11"/>
      <c r="D546" s="11"/>
      <c r="E546" s="11"/>
      <c r="F546" s="11"/>
      <c r="G546" s="11"/>
      <c r="H546" s="11"/>
      <c r="I546" s="11"/>
      <c r="J546" s="11"/>
      <c r="K546" s="11"/>
      <c r="L546" s="15"/>
      <c r="M546" s="15"/>
      <c r="N546" s="15"/>
      <c r="O546" s="15"/>
      <c r="P546" s="15"/>
      <c r="Q546" s="11"/>
      <c r="R546" s="11"/>
      <c r="S546" s="11"/>
      <c r="T546" s="11"/>
      <c r="U546" s="15"/>
      <c r="V546" s="11"/>
      <c r="W546" s="11"/>
      <c r="X546" s="11"/>
      <c r="Y546" s="11"/>
      <c r="Z546" s="11"/>
    </row>
    <row r="547">
      <c r="A547" s="18"/>
      <c r="B547" s="11"/>
      <c r="C547" s="11"/>
      <c r="D547" s="11"/>
      <c r="E547" s="11"/>
      <c r="F547" s="11"/>
      <c r="G547" s="11"/>
      <c r="H547" s="11"/>
      <c r="I547" s="11"/>
      <c r="J547" s="11"/>
      <c r="K547" s="11"/>
      <c r="L547" s="15"/>
      <c r="M547" s="15"/>
      <c r="N547" s="15"/>
      <c r="O547" s="15"/>
      <c r="P547" s="15"/>
      <c r="Q547" s="11"/>
      <c r="R547" s="11"/>
      <c r="S547" s="11"/>
      <c r="T547" s="11"/>
      <c r="U547" s="15"/>
      <c r="V547" s="11"/>
      <c r="W547" s="11"/>
      <c r="X547" s="11"/>
      <c r="Y547" s="11"/>
      <c r="Z547" s="11"/>
    </row>
    <row r="548">
      <c r="A548" s="18"/>
      <c r="B548" s="11"/>
      <c r="C548" s="11"/>
      <c r="D548" s="11"/>
      <c r="E548" s="11"/>
      <c r="F548" s="11"/>
      <c r="G548" s="11"/>
      <c r="H548" s="11"/>
      <c r="I548" s="11"/>
      <c r="J548" s="11"/>
      <c r="K548" s="11"/>
      <c r="L548" s="15"/>
      <c r="M548" s="15"/>
      <c r="N548" s="15"/>
      <c r="O548" s="15"/>
      <c r="P548" s="15"/>
      <c r="Q548" s="11"/>
      <c r="R548" s="11"/>
      <c r="S548" s="11"/>
      <c r="T548" s="11"/>
      <c r="U548" s="15"/>
      <c r="V548" s="11"/>
      <c r="W548" s="11"/>
      <c r="X548" s="11"/>
      <c r="Y548" s="11"/>
      <c r="Z548" s="11"/>
    </row>
    <row r="549">
      <c r="A549" s="18"/>
      <c r="B549" s="11"/>
      <c r="C549" s="11"/>
      <c r="D549" s="11"/>
      <c r="E549" s="11"/>
      <c r="F549" s="11"/>
      <c r="G549" s="11"/>
      <c r="H549" s="11"/>
      <c r="I549" s="11"/>
      <c r="J549" s="11"/>
      <c r="K549" s="11"/>
      <c r="L549" s="15"/>
      <c r="M549" s="15"/>
      <c r="N549" s="15"/>
      <c r="O549" s="15"/>
      <c r="P549" s="15"/>
      <c r="Q549" s="11"/>
      <c r="R549" s="11"/>
      <c r="S549" s="11"/>
      <c r="T549" s="11"/>
      <c r="U549" s="15"/>
      <c r="V549" s="11"/>
      <c r="W549" s="11"/>
      <c r="X549" s="11"/>
      <c r="Y549" s="11"/>
      <c r="Z549" s="11"/>
    </row>
    <row r="550">
      <c r="A550" s="18"/>
      <c r="B550" s="11"/>
      <c r="C550" s="11"/>
      <c r="D550" s="11"/>
      <c r="E550" s="11"/>
      <c r="F550" s="11"/>
      <c r="G550" s="11"/>
      <c r="H550" s="11"/>
      <c r="I550" s="11"/>
      <c r="J550" s="11"/>
      <c r="K550" s="11"/>
      <c r="L550" s="15"/>
      <c r="M550" s="15"/>
      <c r="N550" s="15"/>
      <c r="O550" s="15"/>
      <c r="P550" s="15"/>
      <c r="Q550" s="11"/>
      <c r="R550" s="11"/>
      <c r="S550" s="11"/>
      <c r="T550" s="11"/>
      <c r="U550" s="15"/>
      <c r="V550" s="11"/>
      <c r="W550" s="11"/>
      <c r="X550" s="11"/>
      <c r="Y550" s="11"/>
      <c r="Z550" s="11"/>
    </row>
    <row r="551">
      <c r="A551" s="18"/>
      <c r="B551" s="11"/>
      <c r="C551" s="11"/>
      <c r="D551" s="11"/>
      <c r="E551" s="11"/>
      <c r="F551" s="11"/>
      <c r="G551" s="11"/>
      <c r="H551" s="11"/>
      <c r="I551" s="11"/>
      <c r="J551" s="11"/>
      <c r="K551" s="11"/>
      <c r="L551" s="15"/>
      <c r="M551" s="15"/>
      <c r="N551" s="15"/>
      <c r="O551" s="15"/>
      <c r="P551" s="15"/>
      <c r="Q551" s="11"/>
      <c r="R551" s="11"/>
      <c r="S551" s="11"/>
      <c r="T551" s="11"/>
      <c r="U551" s="15"/>
      <c r="V551" s="11"/>
      <c r="W551" s="11"/>
      <c r="X551" s="11"/>
      <c r="Y551" s="11"/>
      <c r="Z551" s="11"/>
    </row>
    <row r="552">
      <c r="A552" s="18"/>
      <c r="B552" s="11"/>
      <c r="C552" s="11"/>
      <c r="D552" s="11"/>
      <c r="E552" s="11"/>
      <c r="F552" s="11"/>
      <c r="G552" s="11"/>
      <c r="H552" s="11"/>
      <c r="I552" s="11"/>
      <c r="J552" s="11"/>
      <c r="K552" s="11"/>
      <c r="L552" s="15"/>
      <c r="M552" s="15"/>
      <c r="N552" s="15"/>
      <c r="O552" s="15"/>
      <c r="P552" s="15"/>
      <c r="Q552" s="11"/>
      <c r="R552" s="11"/>
      <c r="S552" s="11"/>
      <c r="T552" s="11"/>
      <c r="U552" s="15"/>
      <c r="V552" s="11"/>
      <c r="W552" s="11"/>
      <c r="X552" s="11"/>
      <c r="Y552" s="11"/>
      <c r="Z552" s="11"/>
    </row>
    <row r="553">
      <c r="A553" s="18"/>
      <c r="B553" s="11"/>
      <c r="C553" s="11"/>
      <c r="D553" s="11"/>
      <c r="E553" s="11"/>
      <c r="F553" s="11"/>
      <c r="G553" s="11"/>
      <c r="H553" s="11"/>
      <c r="I553" s="11"/>
      <c r="J553" s="11"/>
      <c r="K553" s="11"/>
      <c r="L553" s="15"/>
      <c r="M553" s="15"/>
      <c r="N553" s="15"/>
      <c r="O553" s="15"/>
      <c r="P553" s="15"/>
      <c r="Q553" s="11"/>
      <c r="R553" s="11"/>
      <c r="S553" s="11"/>
      <c r="T553" s="11"/>
      <c r="U553" s="15"/>
      <c r="V553" s="11"/>
      <c r="W553" s="11"/>
      <c r="X553" s="11"/>
      <c r="Y553" s="11"/>
      <c r="Z553" s="11"/>
    </row>
    <row r="554">
      <c r="A554" s="18"/>
      <c r="B554" s="11"/>
      <c r="C554" s="11"/>
      <c r="D554" s="11"/>
      <c r="E554" s="11"/>
      <c r="F554" s="11"/>
      <c r="G554" s="11"/>
      <c r="H554" s="11"/>
      <c r="I554" s="11"/>
      <c r="J554" s="11"/>
      <c r="K554" s="11"/>
      <c r="L554" s="15"/>
      <c r="M554" s="15"/>
      <c r="N554" s="15"/>
      <c r="O554" s="15"/>
      <c r="P554" s="15"/>
      <c r="Q554" s="11"/>
      <c r="R554" s="11"/>
      <c r="S554" s="11"/>
      <c r="T554" s="11"/>
      <c r="U554" s="15"/>
      <c r="V554" s="11"/>
      <c r="W554" s="11"/>
      <c r="X554" s="11"/>
      <c r="Y554" s="11"/>
      <c r="Z554" s="11"/>
    </row>
    <row r="555">
      <c r="A555" s="18"/>
      <c r="B555" s="11"/>
      <c r="C555" s="11"/>
      <c r="D555" s="11"/>
      <c r="E555" s="11"/>
      <c r="F555" s="11"/>
      <c r="G555" s="11"/>
      <c r="H555" s="11"/>
      <c r="I555" s="11"/>
      <c r="J555" s="11"/>
      <c r="K555" s="11"/>
      <c r="L555" s="15"/>
      <c r="M555" s="15"/>
      <c r="N555" s="15"/>
      <c r="O555" s="15"/>
      <c r="P555" s="15"/>
      <c r="Q555" s="11"/>
      <c r="R555" s="11"/>
      <c r="S555" s="11"/>
      <c r="T555" s="11"/>
      <c r="U555" s="15"/>
      <c r="V555" s="11"/>
      <c r="W555" s="11"/>
      <c r="X555" s="11"/>
      <c r="Y555" s="11"/>
      <c r="Z555" s="11"/>
    </row>
    <row r="556">
      <c r="A556" s="18"/>
      <c r="B556" s="11"/>
      <c r="C556" s="11"/>
      <c r="D556" s="11"/>
      <c r="E556" s="11"/>
      <c r="F556" s="11"/>
      <c r="G556" s="11"/>
      <c r="H556" s="11"/>
      <c r="I556" s="11"/>
      <c r="J556" s="11"/>
      <c r="K556" s="11"/>
      <c r="L556" s="15"/>
      <c r="M556" s="15"/>
      <c r="N556" s="15"/>
      <c r="O556" s="15"/>
      <c r="P556" s="15"/>
      <c r="Q556" s="11"/>
      <c r="R556" s="11"/>
      <c r="S556" s="11"/>
      <c r="T556" s="11"/>
      <c r="U556" s="15"/>
      <c r="V556" s="11"/>
      <c r="W556" s="11"/>
      <c r="X556" s="11"/>
      <c r="Y556" s="11"/>
      <c r="Z556" s="11"/>
    </row>
    <row r="557">
      <c r="A557" s="18"/>
      <c r="B557" s="11"/>
      <c r="C557" s="11"/>
      <c r="D557" s="11"/>
      <c r="E557" s="11"/>
      <c r="F557" s="11"/>
      <c r="G557" s="11"/>
      <c r="H557" s="11"/>
      <c r="I557" s="11"/>
      <c r="J557" s="11"/>
      <c r="K557" s="11"/>
      <c r="L557" s="15"/>
      <c r="M557" s="15"/>
      <c r="N557" s="15"/>
      <c r="O557" s="15"/>
      <c r="P557" s="15"/>
      <c r="Q557" s="11"/>
      <c r="R557" s="11"/>
      <c r="S557" s="11"/>
      <c r="T557" s="11"/>
      <c r="U557" s="15"/>
      <c r="V557" s="11"/>
      <c r="W557" s="11"/>
      <c r="X557" s="11"/>
      <c r="Y557" s="11"/>
      <c r="Z557" s="11"/>
    </row>
    <row r="558">
      <c r="A558" s="18"/>
      <c r="B558" s="11"/>
      <c r="C558" s="11"/>
      <c r="D558" s="11"/>
      <c r="E558" s="11"/>
      <c r="F558" s="11"/>
      <c r="G558" s="11"/>
      <c r="H558" s="11"/>
      <c r="I558" s="11"/>
      <c r="J558" s="11"/>
      <c r="K558" s="11"/>
      <c r="L558" s="15"/>
      <c r="M558" s="15"/>
      <c r="N558" s="15"/>
      <c r="O558" s="15"/>
      <c r="P558" s="15"/>
      <c r="Q558" s="11"/>
      <c r="R558" s="11"/>
      <c r="S558" s="11"/>
      <c r="T558" s="11"/>
      <c r="U558" s="15"/>
      <c r="V558" s="11"/>
      <c r="W558" s="11"/>
      <c r="X558" s="11"/>
      <c r="Y558" s="11"/>
      <c r="Z558" s="11"/>
    </row>
    <row r="559">
      <c r="A559" s="18"/>
      <c r="B559" s="11"/>
      <c r="C559" s="11"/>
      <c r="D559" s="11"/>
      <c r="E559" s="11"/>
      <c r="F559" s="11"/>
      <c r="G559" s="11"/>
      <c r="H559" s="11"/>
      <c r="I559" s="11"/>
      <c r="J559" s="11"/>
      <c r="K559" s="11"/>
      <c r="L559" s="15"/>
      <c r="M559" s="15"/>
      <c r="N559" s="15"/>
      <c r="O559" s="15"/>
      <c r="P559" s="15"/>
      <c r="Q559" s="11"/>
      <c r="R559" s="11"/>
      <c r="S559" s="11"/>
      <c r="T559" s="11"/>
      <c r="U559" s="15"/>
      <c r="V559" s="11"/>
      <c r="W559" s="11"/>
      <c r="X559" s="11"/>
      <c r="Y559" s="11"/>
      <c r="Z559" s="11"/>
    </row>
    <row r="560">
      <c r="A560" s="18"/>
      <c r="B560" s="11"/>
      <c r="C560" s="11"/>
      <c r="D560" s="11"/>
      <c r="E560" s="11"/>
      <c r="F560" s="11"/>
      <c r="G560" s="11"/>
      <c r="H560" s="11"/>
      <c r="I560" s="11"/>
      <c r="J560" s="11"/>
      <c r="K560" s="11"/>
      <c r="L560" s="15"/>
      <c r="M560" s="15"/>
      <c r="N560" s="15"/>
      <c r="O560" s="15"/>
      <c r="P560" s="15"/>
      <c r="Q560" s="11"/>
      <c r="R560" s="11"/>
      <c r="S560" s="11"/>
      <c r="T560" s="11"/>
      <c r="U560" s="15"/>
      <c r="V560" s="11"/>
      <c r="W560" s="11"/>
      <c r="X560" s="11"/>
      <c r="Y560" s="11"/>
      <c r="Z560" s="11"/>
    </row>
    <row r="561">
      <c r="A561" s="18"/>
      <c r="B561" s="11"/>
      <c r="C561" s="11"/>
      <c r="D561" s="11"/>
      <c r="E561" s="11"/>
      <c r="F561" s="11"/>
      <c r="G561" s="11"/>
      <c r="H561" s="11"/>
      <c r="I561" s="11"/>
      <c r="J561" s="11"/>
      <c r="K561" s="11"/>
      <c r="L561" s="15"/>
      <c r="M561" s="15"/>
      <c r="N561" s="15"/>
      <c r="O561" s="15"/>
      <c r="P561" s="15"/>
      <c r="Q561" s="11"/>
      <c r="R561" s="11"/>
      <c r="S561" s="11"/>
      <c r="T561" s="11"/>
      <c r="U561" s="15"/>
      <c r="V561" s="11"/>
      <c r="W561" s="11"/>
      <c r="X561" s="11"/>
      <c r="Y561" s="11"/>
      <c r="Z561" s="11"/>
    </row>
    <row r="562">
      <c r="A562" s="18"/>
      <c r="B562" s="11"/>
      <c r="C562" s="11"/>
      <c r="D562" s="11"/>
      <c r="E562" s="11"/>
      <c r="F562" s="11"/>
      <c r="G562" s="11"/>
      <c r="H562" s="11"/>
      <c r="I562" s="11"/>
      <c r="J562" s="11"/>
      <c r="K562" s="11"/>
      <c r="L562" s="15"/>
      <c r="M562" s="15"/>
      <c r="N562" s="15"/>
      <c r="O562" s="15"/>
      <c r="P562" s="15"/>
      <c r="Q562" s="11"/>
      <c r="R562" s="11"/>
      <c r="S562" s="11"/>
      <c r="T562" s="11"/>
      <c r="U562" s="15"/>
      <c r="V562" s="11"/>
      <c r="W562" s="11"/>
      <c r="X562" s="11"/>
      <c r="Y562" s="11"/>
      <c r="Z562" s="11"/>
    </row>
    <row r="563">
      <c r="A563" s="18"/>
      <c r="B563" s="11"/>
      <c r="C563" s="11"/>
      <c r="D563" s="11"/>
      <c r="E563" s="11"/>
      <c r="F563" s="11"/>
      <c r="G563" s="11"/>
      <c r="H563" s="11"/>
      <c r="I563" s="11"/>
      <c r="J563" s="11"/>
      <c r="K563" s="11"/>
      <c r="L563" s="15"/>
      <c r="M563" s="15"/>
      <c r="N563" s="15"/>
      <c r="O563" s="15"/>
      <c r="P563" s="15"/>
      <c r="Q563" s="11"/>
      <c r="R563" s="11"/>
      <c r="S563" s="11"/>
      <c r="T563" s="11"/>
      <c r="U563" s="15"/>
      <c r="V563" s="11"/>
      <c r="W563" s="11"/>
      <c r="X563" s="11"/>
      <c r="Y563" s="11"/>
      <c r="Z563" s="11"/>
    </row>
    <row r="564">
      <c r="A564" s="18"/>
      <c r="B564" s="11"/>
      <c r="C564" s="11"/>
      <c r="D564" s="11"/>
      <c r="E564" s="11"/>
      <c r="F564" s="11"/>
      <c r="G564" s="11"/>
      <c r="H564" s="11"/>
      <c r="I564" s="11"/>
      <c r="J564" s="11"/>
      <c r="K564" s="11"/>
      <c r="L564" s="15"/>
      <c r="M564" s="15"/>
      <c r="N564" s="15"/>
      <c r="O564" s="15"/>
      <c r="P564" s="15"/>
      <c r="Q564" s="11"/>
      <c r="R564" s="11"/>
      <c r="S564" s="11"/>
      <c r="T564" s="11"/>
      <c r="U564" s="15"/>
      <c r="V564" s="11"/>
      <c r="W564" s="11"/>
      <c r="X564" s="11"/>
      <c r="Y564" s="11"/>
      <c r="Z564" s="11"/>
    </row>
    <row r="565">
      <c r="A565" s="18"/>
      <c r="B565" s="11"/>
      <c r="C565" s="11"/>
      <c r="D565" s="11"/>
      <c r="E565" s="11"/>
      <c r="F565" s="11"/>
      <c r="G565" s="11"/>
      <c r="H565" s="11"/>
      <c r="I565" s="11"/>
      <c r="J565" s="11"/>
      <c r="K565" s="11"/>
      <c r="L565" s="15"/>
      <c r="M565" s="15"/>
      <c r="N565" s="15"/>
      <c r="O565" s="15"/>
      <c r="P565" s="15"/>
      <c r="Q565" s="11"/>
      <c r="R565" s="11"/>
      <c r="S565" s="11"/>
      <c r="T565" s="11"/>
      <c r="U565" s="15"/>
      <c r="V565" s="11"/>
      <c r="W565" s="11"/>
      <c r="X565" s="11"/>
      <c r="Y565" s="11"/>
      <c r="Z565" s="11"/>
    </row>
    <row r="566">
      <c r="A566" s="18"/>
      <c r="B566" s="11"/>
      <c r="C566" s="11"/>
      <c r="D566" s="11"/>
      <c r="E566" s="11"/>
      <c r="F566" s="11"/>
      <c r="G566" s="11"/>
      <c r="H566" s="11"/>
      <c r="I566" s="11"/>
      <c r="J566" s="11"/>
      <c r="K566" s="11"/>
      <c r="L566" s="15"/>
      <c r="M566" s="15"/>
      <c r="N566" s="15"/>
      <c r="O566" s="15"/>
      <c r="P566" s="15"/>
      <c r="Q566" s="11"/>
      <c r="R566" s="11"/>
      <c r="S566" s="11"/>
      <c r="T566" s="11"/>
      <c r="U566" s="15"/>
      <c r="V566" s="11"/>
      <c r="W566" s="11"/>
      <c r="X566" s="11"/>
      <c r="Y566" s="11"/>
      <c r="Z566" s="11"/>
    </row>
    <row r="567">
      <c r="A567" s="18"/>
      <c r="B567" s="11"/>
      <c r="C567" s="11"/>
      <c r="D567" s="11"/>
      <c r="E567" s="11"/>
      <c r="F567" s="11"/>
      <c r="G567" s="11"/>
      <c r="H567" s="11"/>
      <c r="I567" s="11"/>
      <c r="J567" s="11"/>
      <c r="K567" s="11"/>
      <c r="L567" s="15"/>
      <c r="M567" s="15"/>
      <c r="N567" s="15"/>
      <c r="O567" s="15"/>
      <c r="P567" s="15"/>
      <c r="Q567" s="11"/>
      <c r="R567" s="11"/>
      <c r="S567" s="11"/>
      <c r="T567" s="11"/>
      <c r="U567" s="15"/>
      <c r="V567" s="11"/>
      <c r="W567" s="11"/>
      <c r="X567" s="11"/>
      <c r="Y567" s="11"/>
      <c r="Z567" s="11"/>
    </row>
    <row r="568">
      <c r="A568" s="18"/>
      <c r="B568" s="11"/>
      <c r="C568" s="11"/>
      <c r="D568" s="11"/>
      <c r="E568" s="11"/>
      <c r="F568" s="11"/>
      <c r="G568" s="11"/>
      <c r="H568" s="11"/>
      <c r="I568" s="11"/>
      <c r="J568" s="11"/>
      <c r="K568" s="11"/>
      <c r="L568" s="15"/>
      <c r="M568" s="15"/>
      <c r="N568" s="15"/>
      <c r="O568" s="15"/>
      <c r="P568" s="15"/>
      <c r="Q568" s="11"/>
      <c r="R568" s="11"/>
      <c r="S568" s="11"/>
      <c r="T568" s="11"/>
      <c r="U568" s="15"/>
      <c r="V568" s="11"/>
      <c r="W568" s="11"/>
      <c r="X568" s="11"/>
      <c r="Y568" s="11"/>
      <c r="Z568" s="11"/>
    </row>
    <row r="569">
      <c r="A569" s="18"/>
      <c r="B569" s="11"/>
      <c r="C569" s="11"/>
      <c r="D569" s="11"/>
      <c r="E569" s="11"/>
      <c r="F569" s="11"/>
      <c r="G569" s="11"/>
      <c r="H569" s="11"/>
      <c r="I569" s="11"/>
      <c r="J569" s="11"/>
      <c r="K569" s="11"/>
      <c r="L569" s="15"/>
      <c r="M569" s="15"/>
      <c r="N569" s="15"/>
      <c r="O569" s="15"/>
      <c r="P569" s="15"/>
      <c r="Q569" s="11"/>
      <c r="R569" s="11"/>
      <c r="S569" s="11"/>
      <c r="T569" s="11"/>
      <c r="U569" s="15"/>
      <c r="V569" s="11"/>
      <c r="W569" s="11"/>
      <c r="X569" s="11"/>
      <c r="Y569" s="11"/>
      <c r="Z569" s="11"/>
    </row>
    <row r="570">
      <c r="A570" s="18"/>
      <c r="B570" s="11"/>
      <c r="C570" s="11"/>
      <c r="D570" s="11"/>
      <c r="E570" s="11"/>
      <c r="F570" s="11"/>
      <c r="G570" s="11"/>
      <c r="H570" s="11"/>
      <c r="I570" s="11"/>
      <c r="J570" s="11"/>
      <c r="K570" s="11"/>
      <c r="L570" s="15"/>
      <c r="M570" s="15"/>
      <c r="N570" s="15"/>
      <c r="O570" s="15"/>
      <c r="P570" s="15"/>
      <c r="Q570" s="11"/>
      <c r="R570" s="11"/>
      <c r="S570" s="11"/>
      <c r="T570" s="11"/>
      <c r="U570" s="15"/>
      <c r="V570" s="11"/>
      <c r="W570" s="11"/>
      <c r="X570" s="11"/>
      <c r="Y570" s="11"/>
      <c r="Z570" s="11"/>
    </row>
    <row r="571">
      <c r="A571" s="18"/>
      <c r="B571" s="11"/>
      <c r="C571" s="11"/>
      <c r="D571" s="11"/>
      <c r="E571" s="11"/>
      <c r="F571" s="11"/>
      <c r="G571" s="11"/>
      <c r="H571" s="11"/>
      <c r="I571" s="11"/>
      <c r="J571" s="11"/>
      <c r="K571" s="11"/>
      <c r="L571" s="15"/>
      <c r="M571" s="15"/>
      <c r="N571" s="15"/>
      <c r="O571" s="15"/>
      <c r="P571" s="15"/>
      <c r="Q571" s="11"/>
      <c r="R571" s="11"/>
      <c r="S571" s="11"/>
      <c r="T571" s="11"/>
      <c r="U571" s="15"/>
      <c r="V571" s="11"/>
      <c r="W571" s="11"/>
      <c r="X571" s="11"/>
      <c r="Y571" s="11"/>
      <c r="Z571" s="11"/>
    </row>
    <row r="572">
      <c r="A572" s="18"/>
      <c r="B572" s="11"/>
      <c r="C572" s="11"/>
      <c r="D572" s="11"/>
      <c r="E572" s="11"/>
      <c r="F572" s="11"/>
      <c r="G572" s="11"/>
      <c r="H572" s="11"/>
      <c r="I572" s="11"/>
      <c r="J572" s="11"/>
      <c r="K572" s="11"/>
      <c r="L572" s="15"/>
      <c r="M572" s="15"/>
      <c r="N572" s="15"/>
      <c r="O572" s="15"/>
      <c r="P572" s="15"/>
      <c r="Q572" s="11"/>
      <c r="R572" s="11"/>
      <c r="S572" s="11"/>
      <c r="T572" s="11"/>
      <c r="U572" s="15"/>
      <c r="V572" s="11"/>
      <c r="W572" s="11"/>
      <c r="X572" s="11"/>
      <c r="Y572" s="11"/>
      <c r="Z572" s="11"/>
    </row>
    <row r="573">
      <c r="A573" s="18"/>
      <c r="B573" s="11"/>
      <c r="C573" s="11"/>
      <c r="D573" s="11"/>
      <c r="E573" s="11"/>
      <c r="F573" s="11"/>
      <c r="G573" s="11"/>
      <c r="H573" s="11"/>
      <c r="I573" s="11"/>
      <c r="J573" s="11"/>
      <c r="K573" s="11"/>
      <c r="L573" s="15"/>
      <c r="M573" s="15"/>
      <c r="N573" s="15"/>
      <c r="O573" s="15"/>
      <c r="P573" s="15"/>
      <c r="Q573" s="11"/>
      <c r="R573" s="11"/>
      <c r="S573" s="11"/>
      <c r="T573" s="11"/>
      <c r="U573" s="15"/>
      <c r="V573" s="11"/>
      <c r="W573" s="11"/>
      <c r="X573" s="11"/>
      <c r="Y573" s="11"/>
      <c r="Z573" s="11"/>
    </row>
    <row r="574">
      <c r="A574" s="18"/>
      <c r="B574" s="11"/>
      <c r="C574" s="11"/>
      <c r="D574" s="11"/>
      <c r="E574" s="11"/>
      <c r="F574" s="11"/>
      <c r="G574" s="11"/>
      <c r="H574" s="11"/>
      <c r="I574" s="11"/>
      <c r="J574" s="11"/>
      <c r="K574" s="11"/>
      <c r="L574" s="15"/>
      <c r="M574" s="15"/>
      <c r="N574" s="15"/>
      <c r="O574" s="15"/>
      <c r="P574" s="15"/>
      <c r="Q574" s="11"/>
      <c r="R574" s="11"/>
      <c r="S574" s="11"/>
      <c r="T574" s="11"/>
      <c r="U574" s="15"/>
      <c r="V574" s="11"/>
      <c r="W574" s="11"/>
      <c r="X574" s="11"/>
      <c r="Y574" s="11"/>
      <c r="Z574" s="11"/>
    </row>
    <row r="575">
      <c r="A575" s="18"/>
      <c r="B575" s="11"/>
      <c r="C575" s="11"/>
      <c r="D575" s="11"/>
      <c r="E575" s="11"/>
      <c r="F575" s="11"/>
      <c r="G575" s="11"/>
      <c r="H575" s="11"/>
      <c r="I575" s="11"/>
      <c r="J575" s="11"/>
      <c r="K575" s="11"/>
      <c r="L575" s="15"/>
      <c r="M575" s="15"/>
      <c r="N575" s="15"/>
      <c r="O575" s="15"/>
      <c r="P575" s="15"/>
      <c r="Q575" s="11"/>
      <c r="R575" s="11"/>
      <c r="S575" s="11"/>
      <c r="T575" s="11"/>
      <c r="U575" s="15"/>
      <c r="V575" s="11"/>
      <c r="W575" s="11"/>
      <c r="X575" s="11"/>
      <c r="Y575" s="11"/>
      <c r="Z575" s="11"/>
    </row>
    <row r="576">
      <c r="A576" s="18"/>
      <c r="B576" s="11"/>
      <c r="C576" s="11"/>
      <c r="D576" s="11"/>
      <c r="E576" s="11"/>
      <c r="F576" s="11"/>
      <c r="G576" s="11"/>
      <c r="H576" s="11"/>
      <c r="I576" s="11"/>
      <c r="J576" s="11"/>
      <c r="K576" s="11"/>
      <c r="L576" s="15"/>
      <c r="M576" s="15"/>
      <c r="N576" s="15"/>
      <c r="O576" s="15"/>
      <c r="P576" s="15"/>
      <c r="Q576" s="11"/>
      <c r="R576" s="11"/>
      <c r="S576" s="11"/>
      <c r="T576" s="11"/>
      <c r="U576" s="15"/>
      <c r="V576" s="11"/>
      <c r="W576" s="11"/>
      <c r="X576" s="11"/>
      <c r="Y576" s="11"/>
      <c r="Z576" s="11"/>
    </row>
    <row r="577">
      <c r="A577" s="18"/>
      <c r="B577" s="11"/>
      <c r="C577" s="11"/>
      <c r="D577" s="11"/>
      <c r="E577" s="11"/>
      <c r="F577" s="11"/>
      <c r="G577" s="11"/>
      <c r="H577" s="11"/>
      <c r="I577" s="11"/>
      <c r="J577" s="11"/>
      <c r="K577" s="11"/>
      <c r="L577" s="15"/>
      <c r="M577" s="15"/>
      <c r="N577" s="15"/>
      <c r="O577" s="15"/>
      <c r="P577" s="15"/>
      <c r="Q577" s="11"/>
      <c r="R577" s="11"/>
      <c r="S577" s="11"/>
      <c r="T577" s="11"/>
      <c r="U577" s="15"/>
      <c r="V577" s="11"/>
      <c r="W577" s="11"/>
      <c r="X577" s="11"/>
      <c r="Y577" s="11"/>
      <c r="Z577" s="11"/>
    </row>
    <row r="578">
      <c r="A578" s="18"/>
      <c r="B578" s="11"/>
      <c r="C578" s="11"/>
      <c r="D578" s="11"/>
      <c r="E578" s="11"/>
      <c r="F578" s="11"/>
      <c r="G578" s="11"/>
      <c r="H578" s="11"/>
      <c r="I578" s="11"/>
      <c r="J578" s="11"/>
      <c r="K578" s="11"/>
      <c r="L578" s="15"/>
      <c r="M578" s="15"/>
      <c r="N578" s="15"/>
      <c r="O578" s="15"/>
      <c r="P578" s="15"/>
      <c r="Q578" s="11"/>
      <c r="R578" s="11"/>
      <c r="S578" s="11"/>
      <c r="T578" s="11"/>
      <c r="U578" s="15"/>
      <c r="V578" s="11"/>
      <c r="W578" s="11"/>
      <c r="X578" s="11"/>
      <c r="Y578" s="11"/>
      <c r="Z578" s="11"/>
    </row>
    <row r="579">
      <c r="A579" s="18"/>
      <c r="B579" s="11"/>
      <c r="C579" s="11"/>
      <c r="D579" s="11"/>
      <c r="E579" s="11"/>
      <c r="F579" s="11"/>
      <c r="G579" s="11"/>
      <c r="H579" s="11"/>
      <c r="I579" s="11"/>
      <c r="J579" s="11"/>
      <c r="K579" s="11"/>
      <c r="L579" s="15"/>
      <c r="M579" s="15"/>
      <c r="N579" s="15"/>
      <c r="O579" s="15"/>
      <c r="P579" s="15"/>
      <c r="Q579" s="11"/>
      <c r="R579" s="11"/>
      <c r="S579" s="11"/>
      <c r="T579" s="11"/>
      <c r="U579" s="15"/>
      <c r="V579" s="11"/>
      <c r="W579" s="11"/>
      <c r="X579" s="11"/>
      <c r="Y579" s="11"/>
      <c r="Z579" s="11"/>
    </row>
    <row r="580">
      <c r="A580" s="18"/>
      <c r="B580" s="11"/>
      <c r="C580" s="11"/>
      <c r="D580" s="11"/>
      <c r="E580" s="11"/>
      <c r="F580" s="11"/>
      <c r="G580" s="11"/>
      <c r="H580" s="11"/>
      <c r="I580" s="11"/>
      <c r="J580" s="11"/>
      <c r="K580" s="11"/>
      <c r="L580" s="15"/>
      <c r="M580" s="15"/>
      <c r="N580" s="15"/>
      <c r="O580" s="15"/>
      <c r="P580" s="15"/>
      <c r="Q580" s="11"/>
      <c r="R580" s="11"/>
      <c r="S580" s="11"/>
      <c r="T580" s="11"/>
      <c r="U580" s="15"/>
      <c r="V580" s="11"/>
      <c r="W580" s="11"/>
      <c r="X580" s="11"/>
      <c r="Y580" s="11"/>
      <c r="Z580" s="11"/>
    </row>
    <row r="581">
      <c r="A581" s="18"/>
      <c r="B581" s="11"/>
      <c r="C581" s="11"/>
      <c r="D581" s="11"/>
      <c r="E581" s="11"/>
      <c r="F581" s="11"/>
      <c r="G581" s="11"/>
      <c r="H581" s="11"/>
      <c r="I581" s="11"/>
      <c r="J581" s="11"/>
      <c r="K581" s="11"/>
      <c r="L581" s="15"/>
      <c r="M581" s="15"/>
      <c r="N581" s="15"/>
      <c r="O581" s="15"/>
      <c r="P581" s="15"/>
      <c r="Q581" s="11"/>
      <c r="R581" s="11"/>
      <c r="S581" s="11"/>
      <c r="T581" s="11"/>
      <c r="U581" s="15"/>
      <c r="V581" s="11"/>
      <c r="W581" s="11"/>
      <c r="X581" s="11"/>
      <c r="Y581" s="11"/>
      <c r="Z581" s="11"/>
    </row>
    <row r="582">
      <c r="A582" s="18"/>
      <c r="B582" s="11"/>
      <c r="C582" s="11"/>
      <c r="D582" s="11"/>
      <c r="E582" s="11"/>
      <c r="F582" s="11"/>
      <c r="G582" s="11"/>
      <c r="H582" s="11"/>
      <c r="I582" s="11"/>
      <c r="J582" s="11"/>
      <c r="K582" s="11"/>
      <c r="L582" s="15"/>
      <c r="M582" s="15"/>
      <c r="N582" s="15"/>
      <c r="O582" s="15"/>
      <c r="P582" s="15"/>
      <c r="Q582" s="11"/>
      <c r="R582" s="11"/>
      <c r="S582" s="11"/>
      <c r="T582" s="11"/>
      <c r="U582" s="15"/>
      <c r="V582" s="11"/>
      <c r="W582" s="11"/>
      <c r="X582" s="11"/>
      <c r="Y582" s="11"/>
      <c r="Z582" s="11"/>
    </row>
    <row r="583">
      <c r="A583" s="18"/>
      <c r="B583" s="11"/>
      <c r="C583" s="11"/>
      <c r="D583" s="11"/>
      <c r="E583" s="11"/>
      <c r="F583" s="11"/>
      <c r="G583" s="11"/>
      <c r="H583" s="11"/>
      <c r="I583" s="11"/>
      <c r="J583" s="11"/>
      <c r="K583" s="11"/>
      <c r="L583" s="15"/>
      <c r="M583" s="15"/>
      <c r="N583" s="15"/>
      <c r="O583" s="15"/>
      <c r="P583" s="15"/>
      <c r="Q583" s="11"/>
      <c r="R583" s="11"/>
      <c r="S583" s="11"/>
      <c r="T583" s="11"/>
      <c r="U583" s="15"/>
      <c r="V583" s="11"/>
      <c r="W583" s="11"/>
      <c r="X583" s="11"/>
      <c r="Y583" s="11"/>
      <c r="Z583" s="11"/>
    </row>
    <row r="584">
      <c r="A584" s="18"/>
      <c r="B584" s="11"/>
      <c r="C584" s="11"/>
      <c r="D584" s="11"/>
      <c r="E584" s="11"/>
      <c r="F584" s="11"/>
      <c r="G584" s="11"/>
      <c r="H584" s="11"/>
      <c r="I584" s="11"/>
      <c r="J584" s="11"/>
      <c r="K584" s="11"/>
      <c r="L584" s="15"/>
      <c r="M584" s="15"/>
      <c r="N584" s="15"/>
      <c r="O584" s="15"/>
      <c r="P584" s="15"/>
      <c r="Q584" s="11"/>
      <c r="R584" s="11"/>
      <c r="S584" s="11"/>
      <c r="T584" s="11"/>
      <c r="U584" s="15"/>
      <c r="V584" s="11"/>
      <c r="W584" s="11"/>
      <c r="X584" s="11"/>
      <c r="Y584" s="11"/>
      <c r="Z584" s="11"/>
    </row>
    <row r="585">
      <c r="A585" s="18"/>
      <c r="B585" s="11"/>
      <c r="C585" s="11"/>
      <c r="D585" s="11"/>
      <c r="E585" s="11"/>
      <c r="F585" s="11"/>
      <c r="G585" s="11"/>
      <c r="H585" s="11"/>
      <c r="I585" s="11"/>
      <c r="J585" s="11"/>
      <c r="K585" s="11"/>
      <c r="L585" s="15"/>
      <c r="M585" s="15"/>
      <c r="N585" s="15"/>
      <c r="O585" s="15"/>
      <c r="P585" s="15"/>
      <c r="Q585" s="11"/>
      <c r="R585" s="11"/>
      <c r="S585" s="11"/>
      <c r="T585" s="11"/>
      <c r="U585" s="15"/>
      <c r="V585" s="11"/>
      <c r="W585" s="11"/>
      <c r="X585" s="11"/>
      <c r="Y585" s="11"/>
      <c r="Z585" s="11"/>
    </row>
    <row r="586">
      <c r="A586" s="18"/>
      <c r="B586" s="11"/>
      <c r="C586" s="11"/>
      <c r="D586" s="11"/>
      <c r="E586" s="11"/>
      <c r="F586" s="11"/>
      <c r="G586" s="11"/>
      <c r="H586" s="11"/>
      <c r="I586" s="11"/>
      <c r="J586" s="11"/>
      <c r="K586" s="11"/>
      <c r="L586" s="15"/>
      <c r="M586" s="15"/>
      <c r="N586" s="15"/>
      <c r="O586" s="15"/>
      <c r="P586" s="15"/>
      <c r="Q586" s="11"/>
      <c r="R586" s="11"/>
      <c r="S586" s="11"/>
      <c r="T586" s="11"/>
      <c r="U586" s="15"/>
      <c r="V586" s="11"/>
      <c r="W586" s="11"/>
      <c r="X586" s="11"/>
      <c r="Y586" s="11"/>
      <c r="Z586" s="11"/>
    </row>
    <row r="587">
      <c r="A587" s="18"/>
      <c r="B587" s="11"/>
      <c r="C587" s="11"/>
      <c r="D587" s="11"/>
      <c r="E587" s="11"/>
      <c r="F587" s="11"/>
      <c r="G587" s="11"/>
      <c r="H587" s="11"/>
      <c r="I587" s="11"/>
      <c r="J587" s="11"/>
      <c r="K587" s="11"/>
      <c r="L587" s="15"/>
      <c r="M587" s="15"/>
      <c r="N587" s="15"/>
      <c r="O587" s="15"/>
      <c r="P587" s="15"/>
      <c r="Q587" s="11"/>
      <c r="R587" s="11"/>
      <c r="S587" s="11"/>
      <c r="T587" s="11"/>
      <c r="U587" s="15"/>
      <c r="V587" s="11"/>
      <c r="W587" s="11"/>
      <c r="X587" s="11"/>
      <c r="Y587" s="11"/>
      <c r="Z587" s="11"/>
    </row>
    <row r="588">
      <c r="A588" s="18"/>
      <c r="B588" s="11"/>
      <c r="C588" s="11"/>
      <c r="D588" s="11"/>
      <c r="E588" s="11"/>
      <c r="F588" s="11"/>
      <c r="G588" s="11"/>
      <c r="H588" s="11"/>
      <c r="I588" s="11"/>
      <c r="J588" s="11"/>
      <c r="K588" s="11"/>
      <c r="L588" s="15"/>
      <c r="M588" s="15"/>
      <c r="N588" s="15"/>
      <c r="O588" s="15"/>
      <c r="P588" s="15"/>
      <c r="Q588" s="11"/>
      <c r="R588" s="11"/>
      <c r="S588" s="11"/>
      <c r="T588" s="11"/>
      <c r="U588" s="15"/>
      <c r="V588" s="11"/>
      <c r="W588" s="11"/>
      <c r="X588" s="11"/>
      <c r="Y588" s="11"/>
      <c r="Z588" s="11"/>
    </row>
    <row r="589">
      <c r="A589" s="18"/>
      <c r="B589" s="11"/>
      <c r="C589" s="11"/>
      <c r="D589" s="11"/>
      <c r="E589" s="11"/>
      <c r="F589" s="11"/>
      <c r="G589" s="11"/>
      <c r="H589" s="11"/>
      <c r="I589" s="11"/>
      <c r="J589" s="11"/>
      <c r="K589" s="11"/>
      <c r="L589" s="15"/>
      <c r="M589" s="15"/>
      <c r="N589" s="15"/>
      <c r="O589" s="15"/>
      <c r="P589" s="15"/>
      <c r="Q589" s="11"/>
      <c r="R589" s="11"/>
      <c r="S589" s="11"/>
      <c r="T589" s="11"/>
      <c r="U589" s="15"/>
      <c r="V589" s="11"/>
      <c r="W589" s="11"/>
      <c r="X589" s="11"/>
      <c r="Y589" s="11"/>
      <c r="Z589" s="11"/>
    </row>
    <row r="590">
      <c r="A590" s="18"/>
      <c r="B590" s="11"/>
      <c r="C590" s="11"/>
      <c r="D590" s="11"/>
      <c r="E590" s="11"/>
      <c r="F590" s="11"/>
      <c r="G590" s="11"/>
      <c r="H590" s="11"/>
      <c r="I590" s="11"/>
      <c r="J590" s="11"/>
      <c r="K590" s="11"/>
      <c r="L590" s="15"/>
      <c r="M590" s="15"/>
      <c r="N590" s="15"/>
      <c r="O590" s="15"/>
      <c r="P590" s="15"/>
      <c r="Q590" s="11"/>
      <c r="R590" s="11"/>
      <c r="S590" s="11"/>
      <c r="T590" s="11"/>
      <c r="U590" s="15"/>
      <c r="V590" s="11"/>
      <c r="W590" s="11"/>
      <c r="X590" s="11"/>
      <c r="Y590" s="11"/>
      <c r="Z590" s="11"/>
    </row>
    <row r="591">
      <c r="A591" s="18"/>
      <c r="B591" s="11"/>
      <c r="C591" s="11"/>
      <c r="D591" s="11"/>
      <c r="E591" s="11"/>
      <c r="F591" s="11"/>
      <c r="G591" s="11"/>
      <c r="H591" s="11"/>
      <c r="I591" s="11"/>
      <c r="J591" s="11"/>
      <c r="K591" s="11"/>
      <c r="L591" s="15"/>
      <c r="M591" s="15"/>
      <c r="N591" s="15"/>
      <c r="O591" s="15"/>
      <c r="P591" s="15"/>
      <c r="Q591" s="11"/>
      <c r="R591" s="11"/>
      <c r="S591" s="11"/>
      <c r="T591" s="11"/>
      <c r="U591" s="15"/>
      <c r="V591" s="11"/>
      <c r="W591" s="11"/>
      <c r="X591" s="11"/>
      <c r="Y591" s="11"/>
      <c r="Z591" s="11"/>
    </row>
    <row r="592">
      <c r="A592" s="18"/>
      <c r="B592" s="11"/>
      <c r="C592" s="11"/>
      <c r="D592" s="11"/>
      <c r="E592" s="11"/>
      <c r="F592" s="11"/>
      <c r="G592" s="11"/>
      <c r="H592" s="11"/>
      <c r="I592" s="11"/>
      <c r="J592" s="11"/>
      <c r="K592" s="11"/>
      <c r="L592" s="15"/>
      <c r="M592" s="15"/>
      <c r="N592" s="15"/>
      <c r="O592" s="15"/>
      <c r="P592" s="15"/>
      <c r="Q592" s="11"/>
      <c r="R592" s="11"/>
      <c r="S592" s="11"/>
      <c r="T592" s="11"/>
      <c r="U592" s="15"/>
      <c r="V592" s="11"/>
      <c r="W592" s="11"/>
      <c r="X592" s="11"/>
      <c r="Y592" s="11"/>
      <c r="Z592" s="11"/>
    </row>
    <row r="593">
      <c r="A593" s="18"/>
      <c r="B593" s="11"/>
      <c r="C593" s="11"/>
      <c r="D593" s="11"/>
      <c r="E593" s="11"/>
      <c r="F593" s="11"/>
      <c r="G593" s="11"/>
      <c r="H593" s="11"/>
      <c r="I593" s="11"/>
      <c r="J593" s="11"/>
      <c r="K593" s="11"/>
      <c r="L593" s="15"/>
      <c r="M593" s="15"/>
      <c r="N593" s="15"/>
      <c r="O593" s="15"/>
      <c r="P593" s="15"/>
      <c r="Q593" s="11"/>
      <c r="R593" s="11"/>
      <c r="S593" s="11"/>
      <c r="T593" s="11"/>
      <c r="U593" s="15"/>
      <c r="V593" s="11"/>
      <c r="W593" s="11"/>
      <c r="X593" s="11"/>
      <c r="Y593" s="11"/>
      <c r="Z593" s="11"/>
    </row>
    <row r="594">
      <c r="A594" s="18"/>
      <c r="B594" s="11"/>
      <c r="C594" s="11"/>
      <c r="D594" s="11"/>
      <c r="E594" s="11"/>
      <c r="F594" s="11"/>
      <c r="G594" s="11"/>
      <c r="H594" s="11"/>
      <c r="I594" s="11"/>
      <c r="J594" s="11"/>
      <c r="K594" s="11"/>
      <c r="L594" s="15"/>
      <c r="M594" s="15"/>
      <c r="N594" s="15"/>
      <c r="O594" s="15"/>
      <c r="P594" s="15"/>
      <c r="Q594" s="11"/>
      <c r="R594" s="11"/>
      <c r="S594" s="11"/>
      <c r="T594" s="11"/>
      <c r="U594" s="15"/>
      <c r="V594" s="11"/>
      <c r="W594" s="11"/>
      <c r="X594" s="11"/>
      <c r="Y594" s="11"/>
      <c r="Z594" s="11"/>
    </row>
    <row r="595">
      <c r="A595" s="18"/>
      <c r="B595" s="11"/>
      <c r="C595" s="11"/>
      <c r="D595" s="11"/>
      <c r="E595" s="11"/>
      <c r="F595" s="11"/>
      <c r="G595" s="11"/>
      <c r="H595" s="11"/>
      <c r="I595" s="11"/>
      <c r="J595" s="11"/>
      <c r="K595" s="11"/>
      <c r="L595" s="15"/>
      <c r="M595" s="15"/>
      <c r="N595" s="15"/>
      <c r="O595" s="15"/>
      <c r="P595" s="15"/>
      <c r="Q595" s="11"/>
      <c r="R595" s="11"/>
      <c r="S595" s="11"/>
      <c r="T595" s="11"/>
      <c r="U595" s="15"/>
      <c r="V595" s="11"/>
      <c r="W595" s="11"/>
      <c r="X595" s="11"/>
      <c r="Y595" s="11"/>
      <c r="Z595" s="11"/>
    </row>
    <row r="596">
      <c r="A596" s="18"/>
      <c r="B596" s="11"/>
      <c r="C596" s="11"/>
      <c r="D596" s="11"/>
      <c r="E596" s="11"/>
      <c r="F596" s="11"/>
      <c r="G596" s="11"/>
      <c r="H596" s="11"/>
      <c r="I596" s="11"/>
      <c r="J596" s="11"/>
      <c r="K596" s="11"/>
      <c r="L596" s="15"/>
      <c r="M596" s="15"/>
      <c r="N596" s="15"/>
      <c r="O596" s="15"/>
      <c r="P596" s="15"/>
      <c r="Q596" s="11"/>
      <c r="R596" s="11"/>
      <c r="S596" s="11"/>
      <c r="T596" s="11"/>
      <c r="U596" s="15"/>
      <c r="V596" s="11"/>
      <c r="W596" s="11"/>
      <c r="X596" s="11"/>
      <c r="Y596" s="11"/>
      <c r="Z596" s="11"/>
    </row>
    <row r="597">
      <c r="A597" s="18"/>
      <c r="B597" s="11"/>
      <c r="C597" s="11"/>
      <c r="D597" s="11"/>
      <c r="E597" s="11"/>
      <c r="F597" s="11"/>
      <c r="G597" s="11"/>
      <c r="H597" s="11"/>
      <c r="I597" s="11"/>
      <c r="J597" s="11"/>
      <c r="K597" s="11"/>
      <c r="L597" s="15"/>
      <c r="M597" s="15"/>
      <c r="N597" s="15"/>
      <c r="O597" s="15"/>
      <c r="P597" s="15"/>
      <c r="Q597" s="11"/>
      <c r="R597" s="11"/>
      <c r="S597" s="11"/>
      <c r="T597" s="11"/>
      <c r="U597" s="15"/>
      <c r="V597" s="11"/>
      <c r="W597" s="11"/>
      <c r="X597" s="11"/>
      <c r="Y597" s="11"/>
      <c r="Z597" s="11"/>
    </row>
    <row r="598">
      <c r="A598" s="18"/>
      <c r="B598" s="11"/>
      <c r="C598" s="11"/>
      <c r="D598" s="11"/>
      <c r="E598" s="11"/>
      <c r="F598" s="11"/>
      <c r="G598" s="11"/>
      <c r="H598" s="11"/>
      <c r="I598" s="11"/>
      <c r="J598" s="11"/>
      <c r="K598" s="11"/>
      <c r="L598" s="15"/>
      <c r="M598" s="15"/>
      <c r="N598" s="15"/>
      <c r="O598" s="15"/>
      <c r="P598" s="15"/>
      <c r="Q598" s="11"/>
      <c r="R598" s="11"/>
      <c r="S598" s="11"/>
      <c r="T598" s="11"/>
      <c r="U598" s="15"/>
      <c r="V598" s="11"/>
      <c r="W598" s="11"/>
      <c r="X598" s="11"/>
      <c r="Y598" s="11"/>
      <c r="Z598" s="11"/>
    </row>
    <row r="599">
      <c r="A599" s="18"/>
      <c r="B599" s="11"/>
      <c r="C599" s="11"/>
      <c r="D599" s="11"/>
      <c r="E599" s="11"/>
      <c r="F599" s="11"/>
      <c r="G599" s="11"/>
      <c r="H599" s="11"/>
      <c r="I599" s="11"/>
      <c r="J599" s="11"/>
      <c r="K599" s="11"/>
      <c r="L599" s="15"/>
      <c r="M599" s="15"/>
      <c r="N599" s="15"/>
      <c r="O599" s="15"/>
      <c r="P599" s="15"/>
      <c r="Q599" s="11"/>
      <c r="R599" s="11"/>
      <c r="S599" s="11"/>
      <c r="T599" s="11"/>
      <c r="U599" s="15"/>
      <c r="V599" s="11"/>
      <c r="W599" s="11"/>
      <c r="X599" s="11"/>
      <c r="Y599" s="11"/>
      <c r="Z599" s="11"/>
    </row>
    <row r="600">
      <c r="A600" s="18"/>
      <c r="B600" s="11"/>
      <c r="C600" s="11"/>
      <c r="D600" s="11"/>
      <c r="E600" s="11"/>
      <c r="F600" s="11"/>
      <c r="G600" s="11"/>
      <c r="H600" s="11"/>
      <c r="I600" s="11"/>
      <c r="J600" s="11"/>
      <c r="K600" s="11"/>
      <c r="L600" s="15"/>
      <c r="M600" s="15"/>
      <c r="N600" s="15"/>
      <c r="O600" s="15"/>
      <c r="P600" s="15"/>
      <c r="Q600" s="11"/>
      <c r="R600" s="11"/>
      <c r="S600" s="11"/>
      <c r="T600" s="11"/>
      <c r="U600" s="15"/>
      <c r="V600" s="11"/>
      <c r="W600" s="11"/>
      <c r="X600" s="11"/>
      <c r="Y600" s="11"/>
      <c r="Z600" s="11"/>
    </row>
    <row r="601">
      <c r="A601" s="18"/>
      <c r="B601" s="11"/>
      <c r="C601" s="11"/>
      <c r="D601" s="11"/>
      <c r="E601" s="11"/>
      <c r="F601" s="11"/>
      <c r="G601" s="11"/>
      <c r="H601" s="11"/>
      <c r="I601" s="11"/>
      <c r="J601" s="11"/>
      <c r="K601" s="11"/>
      <c r="L601" s="15"/>
      <c r="M601" s="15"/>
      <c r="N601" s="15"/>
      <c r="O601" s="15"/>
      <c r="P601" s="15"/>
      <c r="Q601" s="11"/>
      <c r="R601" s="11"/>
      <c r="S601" s="11"/>
      <c r="T601" s="11"/>
      <c r="U601" s="15"/>
      <c r="V601" s="11"/>
      <c r="W601" s="11"/>
      <c r="X601" s="11"/>
      <c r="Y601" s="11"/>
      <c r="Z601" s="11"/>
    </row>
    <row r="602">
      <c r="A602" s="18"/>
      <c r="B602" s="11"/>
      <c r="C602" s="11"/>
      <c r="D602" s="11"/>
      <c r="E602" s="11"/>
      <c r="F602" s="11"/>
      <c r="G602" s="11"/>
      <c r="H602" s="11"/>
      <c r="I602" s="11"/>
      <c r="J602" s="11"/>
      <c r="K602" s="11"/>
      <c r="L602" s="15"/>
      <c r="M602" s="15"/>
      <c r="N602" s="15"/>
      <c r="O602" s="15"/>
      <c r="P602" s="15"/>
      <c r="Q602" s="11"/>
      <c r="R602" s="11"/>
      <c r="S602" s="11"/>
      <c r="T602" s="11"/>
      <c r="U602" s="15"/>
      <c r="V602" s="11"/>
      <c r="W602" s="11"/>
      <c r="X602" s="11"/>
      <c r="Y602" s="11"/>
      <c r="Z602" s="11"/>
    </row>
    <row r="603">
      <c r="A603" s="18"/>
      <c r="B603" s="11"/>
      <c r="C603" s="11"/>
      <c r="D603" s="11"/>
      <c r="E603" s="11"/>
      <c r="F603" s="11"/>
      <c r="G603" s="11"/>
      <c r="H603" s="11"/>
      <c r="I603" s="11"/>
      <c r="J603" s="11"/>
      <c r="K603" s="11"/>
      <c r="L603" s="15"/>
      <c r="M603" s="15"/>
      <c r="N603" s="15"/>
      <c r="O603" s="15"/>
      <c r="P603" s="15"/>
      <c r="Q603" s="11"/>
      <c r="R603" s="11"/>
      <c r="S603" s="11"/>
      <c r="T603" s="11"/>
      <c r="U603" s="15"/>
      <c r="V603" s="11"/>
      <c r="W603" s="11"/>
      <c r="X603" s="11"/>
      <c r="Y603" s="11"/>
      <c r="Z603" s="11"/>
    </row>
    <row r="604">
      <c r="A604" s="18"/>
      <c r="B604" s="11"/>
      <c r="C604" s="11"/>
      <c r="D604" s="11"/>
      <c r="E604" s="11"/>
      <c r="F604" s="11"/>
      <c r="G604" s="11"/>
      <c r="H604" s="11"/>
      <c r="I604" s="11"/>
      <c r="J604" s="11"/>
      <c r="K604" s="11"/>
      <c r="L604" s="15"/>
      <c r="M604" s="15"/>
      <c r="N604" s="15"/>
      <c r="O604" s="15"/>
      <c r="P604" s="15"/>
      <c r="Q604" s="11"/>
      <c r="R604" s="11"/>
      <c r="S604" s="11"/>
      <c r="T604" s="11"/>
      <c r="U604" s="15"/>
      <c r="V604" s="11"/>
      <c r="W604" s="11"/>
      <c r="X604" s="11"/>
      <c r="Y604" s="11"/>
      <c r="Z604" s="11"/>
    </row>
    <row r="605">
      <c r="A605" s="18"/>
      <c r="B605" s="11"/>
      <c r="C605" s="11"/>
      <c r="D605" s="11"/>
      <c r="E605" s="11"/>
      <c r="F605" s="11"/>
      <c r="G605" s="11"/>
      <c r="H605" s="11"/>
      <c r="I605" s="11"/>
      <c r="J605" s="11"/>
      <c r="K605" s="11"/>
      <c r="L605" s="15"/>
      <c r="M605" s="15"/>
      <c r="N605" s="15"/>
      <c r="O605" s="15"/>
      <c r="P605" s="15"/>
      <c r="Q605" s="11"/>
      <c r="R605" s="11"/>
      <c r="S605" s="11"/>
      <c r="T605" s="11"/>
      <c r="U605" s="15"/>
      <c r="V605" s="11"/>
      <c r="W605" s="11"/>
      <c r="X605" s="11"/>
      <c r="Y605" s="11"/>
      <c r="Z605" s="11"/>
    </row>
    <row r="606">
      <c r="A606" s="18"/>
      <c r="B606" s="11"/>
      <c r="C606" s="11"/>
      <c r="D606" s="11"/>
      <c r="E606" s="11"/>
      <c r="F606" s="11"/>
      <c r="G606" s="11"/>
      <c r="H606" s="11"/>
      <c r="I606" s="11"/>
      <c r="J606" s="11"/>
      <c r="K606" s="11"/>
      <c r="L606" s="15"/>
      <c r="M606" s="15"/>
      <c r="N606" s="15"/>
      <c r="O606" s="15"/>
      <c r="P606" s="15"/>
      <c r="Q606" s="11"/>
      <c r="R606" s="11"/>
      <c r="S606" s="11"/>
      <c r="T606" s="11"/>
      <c r="U606" s="15"/>
      <c r="V606" s="11"/>
      <c r="W606" s="11"/>
      <c r="X606" s="11"/>
      <c r="Y606" s="11"/>
      <c r="Z606" s="11"/>
    </row>
    <row r="607">
      <c r="A607" s="18"/>
      <c r="B607" s="11"/>
      <c r="C607" s="11"/>
      <c r="D607" s="11"/>
      <c r="E607" s="11"/>
      <c r="F607" s="11"/>
      <c r="G607" s="11"/>
      <c r="H607" s="11"/>
      <c r="I607" s="11"/>
      <c r="J607" s="11"/>
      <c r="K607" s="11"/>
      <c r="L607" s="15"/>
      <c r="M607" s="15"/>
      <c r="N607" s="15"/>
      <c r="O607" s="15"/>
      <c r="P607" s="15"/>
      <c r="Q607" s="11"/>
      <c r="R607" s="11"/>
      <c r="S607" s="11"/>
      <c r="T607" s="11"/>
      <c r="U607" s="15"/>
      <c r="V607" s="11"/>
      <c r="W607" s="11"/>
      <c r="X607" s="11"/>
      <c r="Y607" s="11"/>
      <c r="Z607" s="11"/>
    </row>
    <row r="608">
      <c r="A608" s="18"/>
      <c r="B608" s="11"/>
      <c r="C608" s="11"/>
      <c r="D608" s="11"/>
      <c r="E608" s="11"/>
      <c r="F608" s="11"/>
      <c r="G608" s="11"/>
      <c r="H608" s="11"/>
      <c r="I608" s="11"/>
      <c r="J608" s="11"/>
      <c r="K608" s="11"/>
      <c r="L608" s="15"/>
      <c r="M608" s="15"/>
      <c r="N608" s="15"/>
      <c r="O608" s="15"/>
      <c r="P608" s="15"/>
      <c r="Q608" s="11"/>
      <c r="R608" s="11"/>
      <c r="S608" s="11"/>
      <c r="T608" s="11"/>
      <c r="U608" s="15"/>
      <c r="V608" s="11"/>
      <c r="W608" s="11"/>
      <c r="X608" s="11"/>
      <c r="Y608" s="11"/>
      <c r="Z608" s="11"/>
    </row>
    <row r="609">
      <c r="A609" s="18"/>
      <c r="B609" s="11"/>
      <c r="C609" s="11"/>
      <c r="D609" s="11"/>
      <c r="E609" s="11"/>
      <c r="F609" s="11"/>
      <c r="G609" s="11"/>
      <c r="H609" s="11"/>
      <c r="I609" s="11"/>
      <c r="J609" s="11"/>
      <c r="K609" s="11"/>
      <c r="L609" s="15"/>
      <c r="M609" s="15"/>
      <c r="N609" s="15"/>
      <c r="O609" s="15"/>
      <c r="P609" s="15"/>
      <c r="Q609" s="11"/>
      <c r="R609" s="11"/>
      <c r="S609" s="11"/>
      <c r="T609" s="11"/>
      <c r="U609" s="15"/>
      <c r="V609" s="11"/>
      <c r="W609" s="11"/>
      <c r="X609" s="11"/>
      <c r="Y609" s="11"/>
      <c r="Z609" s="11"/>
    </row>
    <row r="610">
      <c r="A610" s="18"/>
      <c r="B610" s="11"/>
      <c r="C610" s="11"/>
      <c r="D610" s="11"/>
      <c r="E610" s="11"/>
      <c r="F610" s="11"/>
      <c r="G610" s="11"/>
      <c r="H610" s="11"/>
      <c r="I610" s="11"/>
      <c r="J610" s="11"/>
      <c r="K610" s="11"/>
      <c r="L610" s="15"/>
      <c r="M610" s="15"/>
      <c r="N610" s="15"/>
      <c r="O610" s="15"/>
      <c r="P610" s="15"/>
      <c r="Q610" s="11"/>
      <c r="R610" s="11"/>
      <c r="S610" s="11"/>
      <c r="T610" s="11"/>
      <c r="U610" s="15"/>
      <c r="V610" s="11"/>
      <c r="W610" s="11"/>
      <c r="X610" s="11"/>
      <c r="Y610" s="11"/>
      <c r="Z610" s="11"/>
    </row>
    <row r="611">
      <c r="A611" s="18"/>
      <c r="B611" s="11"/>
      <c r="C611" s="11"/>
      <c r="D611" s="11"/>
      <c r="E611" s="11"/>
      <c r="F611" s="11"/>
      <c r="G611" s="11"/>
      <c r="H611" s="11"/>
      <c r="I611" s="11"/>
      <c r="J611" s="11"/>
      <c r="K611" s="11"/>
      <c r="L611" s="15"/>
      <c r="M611" s="15"/>
      <c r="N611" s="15"/>
      <c r="O611" s="15"/>
      <c r="P611" s="15"/>
      <c r="Q611" s="11"/>
      <c r="R611" s="11"/>
      <c r="S611" s="11"/>
      <c r="T611" s="11"/>
      <c r="U611" s="15"/>
      <c r="V611" s="11"/>
      <c r="W611" s="11"/>
      <c r="X611" s="11"/>
      <c r="Y611" s="11"/>
      <c r="Z611" s="11"/>
    </row>
    <row r="612">
      <c r="A612" s="18"/>
      <c r="B612" s="11"/>
      <c r="C612" s="11"/>
      <c r="D612" s="11"/>
      <c r="E612" s="11"/>
      <c r="F612" s="11"/>
      <c r="G612" s="11"/>
      <c r="H612" s="11"/>
      <c r="I612" s="11"/>
      <c r="J612" s="11"/>
      <c r="K612" s="11"/>
      <c r="L612" s="15"/>
      <c r="M612" s="15"/>
      <c r="N612" s="15"/>
      <c r="O612" s="15"/>
      <c r="P612" s="15"/>
      <c r="Q612" s="11"/>
      <c r="R612" s="11"/>
      <c r="S612" s="11"/>
      <c r="T612" s="11"/>
      <c r="U612" s="15"/>
      <c r="V612" s="11"/>
      <c r="W612" s="11"/>
      <c r="X612" s="11"/>
      <c r="Y612" s="11"/>
      <c r="Z612" s="11"/>
    </row>
    <row r="613">
      <c r="A613" s="18"/>
      <c r="B613" s="11"/>
      <c r="C613" s="11"/>
      <c r="D613" s="11"/>
      <c r="E613" s="11"/>
      <c r="F613" s="11"/>
      <c r="G613" s="11"/>
      <c r="H613" s="11"/>
      <c r="I613" s="11"/>
      <c r="J613" s="11"/>
      <c r="K613" s="11"/>
      <c r="L613" s="15"/>
      <c r="M613" s="15"/>
      <c r="N613" s="15"/>
      <c r="O613" s="15"/>
      <c r="P613" s="15"/>
      <c r="Q613" s="11"/>
      <c r="R613" s="11"/>
      <c r="S613" s="11"/>
      <c r="T613" s="11"/>
      <c r="U613" s="15"/>
      <c r="V613" s="11"/>
      <c r="W613" s="11"/>
      <c r="X613" s="11"/>
      <c r="Y613" s="11"/>
      <c r="Z613" s="11"/>
    </row>
    <row r="614">
      <c r="A614" s="18"/>
      <c r="B614" s="11"/>
      <c r="C614" s="11"/>
      <c r="D614" s="11"/>
      <c r="E614" s="11"/>
      <c r="F614" s="11"/>
      <c r="G614" s="11"/>
      <c r="H614" s="11"/>
      <c r="I614" s="11"/>
      <c r="J614" s="11"/>
      <c r="K614" s="11"/>
      <c r="L614" s="15"/>
      <c r="M614" s="15"/>
      <c r="N614" s="15"/>
      <c r="O614" s="15"/>
      <c r="P614" s="15"/>
      <c r="Q614" s="11"/>
      <c r="R614" s="11"/>
      <c r="S614" s="11"/>
      <c r="T614" s="11"/>
      <c r="U614" s="15"/>
      <c r="V614" s="11"/>
      <c r="W614" s="11"/>
      <c r="X614" s="11"/>
      <c r="Y614" s="11"/>
      <c r="Z614" s="11"/>
    </row>
    <row r="615">
      <c r="A615" s="18"/>
      <c r="B615" s="11"/>
      <c r="C615" s="11"/>
      <c r="D615" s="11"/>
      <c r="E615" s="11"/>
      <c r="F615" s="11"/>
      <c r="G615" s="11"/>
      <c r="H615" s="11"/>
      <c r="I615" s="11"/>
      <c r="J615" s="11"/>
      <c r="K615" s="11"/>
      <c r="L615" s="15"/>
      <c r="M615" s="15"/>
      <c r="N615" s="15"/>
      <c r="O615" s="15"/>
      <c r="P615" s="15"/>
      <c r="Q615" s="11"/>
      <c r="R615" s="11"/>
      <c r="S615" s="11"/>
      <c r="T615" s="11"/>
      <c r="U615" s="15"/>
      <c r="V615" s="11"/>
      <c r="W615" s="11"/>
      <c r="X615" s="11"/>
      <c r="Y615" s="11"/>
      <c r="Z615" s="11"/>
    </row>
    <row r="616">
      <c r="A616" s="18"/>
      <c r="B616" s="11"/>
      <c r="C616" s="11"/>
      <c r="D616" s="11"/>
      <c r="E616" s="11"/>
      <c r="F616" s="11"/>
      <c r="G616" s="11"/>
      <c r="H616" s="11"/>
      <c r="I616" s="11"/>
      <c r="J616" s="11"/>
      <c r="K616" s="11"/>
      <c r="L616" s="15"/>
      <c r="M616" s="15"/>
      <c r="N616" s="15"/>
      <c r="O616" s="15"/>
      <c r="P616" s="15"/>
      <c r="Q616" s="11"/>
      <c r="R616" s="11"/>
      <c r="S616" s="11"/>
      <c r="T616" s="11"/>
      <c r="U616" s="15"/>
      <c r="V616" s="11"/>
      <c r="W616" s="11"/>
      <c r="X616" s="11"/>
      <c r="Y616" s="11"/>
      <c r="Z616" s="11"/>
    </row>
    <row r="617">
      <c r="A617" s="18"/>
      <c r="B617" s="11"/>
      <c r="C617" s="11"/>
      <c r="D617" s="11"/>
      <c r="E617" s="11"/>
      <c r="F617" s="11"/>
      <c r="G617" s="11"/>
      <c r="H617" s="11"/>
      <c r="I617" s="11"/>
      <c r="J617" s="11"/>
      <c r="K617" s="11"/>
      <c r="L617" s="15"/>
      <c r="M617" s="15"/>
      <c r="N617" s="15"/>
      <c r="O617" s="15"/>
      <c r="P617" s="15"/>
      <c r="Q617" s="11"/>
      <c r="R617" s="11"/>
      <c r="S617" s="11"/>
      <c r="T617" s="11"/>
      <c r="U617" s="15"/>
      <c r="V617" s="11"/>
      <c r="W617" s="11"/>
      <c r="X617" s="11"/>
      <c r="Y617" s="11"/>
      <c r="Z617" s="11"/>
    </row>
    <row r="618">
      <c r="A618" s="18"/>
      <c r="B618" s="11"/>
      <c r="C618" s="11"/>
      <c r="D618" s="11"/>
      <c r="E618" s="11"/>
      <c r="F618" s="11"/>
      <c r="G618" s="11"/>
      <c r="H618" s="11"/>
      <c r="I618" s="11"/>
      <c r="J618" s="11"/>
      <c r="K618" s="11"/>
      <c r="L618" s="15"/>
      <c r="M618" s="15"/>
      <c r="N618" s="15"/>
      <c r="O618" s="15"/>
      <c r="P618" s="15"/>
      <c r="Q618" s="11"/>
      <c r="R618" s="11"/>
      <c r="S618" s="11"/>
      <c r="T618" s="11"/>
      <c r="U618" s="15"/>
      <c r="V618" s="11"/>
      <c r="W618" s="11"/>
      <c r="X618" s="11"/>
      <c r="Y618" s="11"/>
      <c r="Z618" s="11"/>
    </row>
    <row r="619">
      <c r="A619" s="18"/>
      <c r="B619" s="11"/>
      <c r="C619" s="11"/>
      <c r="D619" s="11"/>
      <c r="E619" s="11"/>
      <c r="F619" s="11"/>
      <c r="G619" s="11"/>
      <c r="H619" s="11"/>
      <c r="I619" s="11"/>
      <c r="J619" s="11"/>
      <c r="K619" s="11"/>
      <c r="L619" s="15"/>
      <c r="M619" s="15"/>
      <c r="N619" s="15"/>
      <c r="O619" s="15"/>
      <c r="P619" s="15"/>
      <c r="Q619" s="11"/>
      <c r="R619" s="11"/>
      <c r="S619" s="11"/>
      <c r="T619" s="11"/>
      <c r="U619" s="15"/>
      <c r="V619" s="11"/>
      <c r="W619" s="11"/>
      <c r="X619" s="11"/>
      <c r="Y619" s="11"/>
      <c r="Z619" s="11"/>
    </row>
    <row r="620">
      <c r="A620" s="18"/>
      <c r="B620" s="11"/>
      <c r="C620" s="11"/>
      <c r="D620" s="11"/>
      <c r="E620" s="11"/>
      <c r="F620" s="11"/>
      <c r="G620" s="11"/>
      <c r="H620" s="11"/>
      <c r="I620" s="11"/>
      <c r="J620" s="11"/>
      <c r="K620" s="11"/>
      <c r="L620" s="15"/>
      <c r="M620" s="15"/>
      <c r="N620" s="15"/>
      <c r="O620" s="15"/>
      <c r="P620" s="15"/>
      <c r="Q620" s="11"/>
      <c r="R620" s="11"/>
      <c r="S620" s="11"/>
      <c r="T620" s="11"/>
      <c r="U620" s="15"/>
      <c r="V620" s="11"/>
      <c r="W620" s="11"/>
      <c r="X620" s="11"/>
      <c r="Y620" s="11"/>
      <c r="Z620" s="11"/>
    </row>
    <row r="621">
      <c r="A621" s="18"/>
      <c r="B621" s="11"/>
      <c r="C621" s="11"/>
      <c r="D621" s="11"/>
      <c r="E621" s="11"/>
      <c r="F621" s="11"/>
      <c r="G621" s="11"/>
      <c r="H621" s="11"/>
      <c r="I621" s="11"/>
      <c r="J621" s="11"/>
      <c r="K621" s="11"/>
      <c r="L621" s="15"/>
      <c r="M621" s="15"/>
      <c r="N621" s="15"/>
      <c r="O621" s="15"/>
      <c r="P621" s="15"/>
      <c r="Q621" s="11"/>
      <c r="R621" s="11"/>
      <c r="S621" s="11"/>
      <c r="T621" s="11"/>
      <c r="U621" s="15"/>
      <c r="V621" s="11"/>
      <c r="W621" s="11"/>
      <c r="X621" s="11"/>
      <c r="Y621" s="11"/>
      <c r="Z621" s="11"/>
    </row>
    <row r="622">
      <c r="A622" s="18"/>
      <c r="B622" s="11"/>
      <c r="C622" s="11"/>
      <c r="D622" s="11"/>
      <c r="E622" s="11"/>
      <c r="F622" s="11"/>
      <c r="G622" s="11"/>
      <c r="H622" s="11"/>
      <c r="I622" s="11"/>
      <c r="J622" s="11"/>
      <c r="K622" s="11"/>
      <c r="L622" s="15"/>
      <c r="M622" s="15"/>
      <c r="N622" s="15"/>
      <c r="O622" s="15"/>
      <c r="P622" s="15"/>
      <c r="Q622" s="11"/>
      <c r="R622" s="11"/>
      <c r="S622" s="11"/>
      <c r="T622" s="11"/>
      <c r="U622" s="15"/>
      <c r="V622" s="11"/>
      <c r="W622" s="11"/>
      <c r="X622" s="11"/>
      <c r="Y622" s="11"/>
      <c r="Z622" s="11"/>
    </row>
    <row r="623">
      <c r="A623" s="18"/>
      <c r="B623" s="11"/>
      <c r="C623" s="11"/>
      <c r="D623" s="11"/>
      <c r="E623" s="11"/>
      <c r="F623" s="11"/>
      <c r="G623" s="11"/>
      <c r="H623" s="11"/>
      <c r="I623" s="11"/>
      <c r="J623" s="11"/>
      <c r="K623" s="11"/>
      <c r="L623" s="15"/>
      <c r="M623" s="15"/>
      <c r="N623" s="15"/>
      <c r="O623" s="15"/>
      <c r="P623" s="15"/>
      <c r="Q623" s="11"/>
      <c r="R623" s="11"/>
      <c r="S623" s="11"/>
      <c r="T623" s="11"/>
      <c r="U623" s="15"/>
      <c r="V623" s="11"/>
      <c r="W623" s="11"/>
      <c r="X623" s="11"/>
      <c r="Y623" s="11"/>
      <c r="Z623" s="11"/>
    </row>
    <row r="624">
      <c r="A624" s="18"/>
      <c r="B624" s="11"/>
      <c r="C624" s="11"/>
      <c r="D624" s="11"/>
      <c r="E624" s="11"/>
      <c r="F624" s="11"/>
      <c r="G624" s="11"/>
      <c r="H624" s="11"/>
      <c r="I624" s="11"/>
      <c r="J624" s="11"/>
      <c r="K624" s="11"/>
      <c r="L624" s="15"/>
      <c r="M624" s="15"/>
      <c r="N624" s="15"/>
      <c r="O624" s="15"/>
      <c r="P624" s="15"/>
      <c r="Q624" s="11"/>
      <c r="R624" s="11"/>
      <c r="S624" s="11"/>
      <c r="T624" s="11"/>
      <c r="U624" s="15"/>
      <c r="V624" s="11"/>
      <c r="W624" s="11"/>
      <c r="X624" s="11"/>
      <c r="Y624" s="11"/>
      <c r="Z624" s="11"/>
    </row>
    <row r="625">
      <c r="A625" s="18"/>
      <c r="B625" s="11"/>
      <c r="C625" s="11"/>
      <c r="D625" s="11"/>
      <c r="E625" s="11"/>
      <c r="F625" s="11"/>
      <c r="G625" s="11"/>
      <c r="H625" s="11"/>
      <c r="I625" s="11"/>
      <c r="J625" s="11"/>
      <c r="K625" s="11"/>
      <c r="L625" s="15"/>
      <c r="M625" s="15"/>
      <c r="N625" s="15"/>
      <c r="O625" s="15"/>
      <c r="P625" s="15"/>
      <c r="Q625" s="11"/>
      <c r="R625" s="11"/>
      <c r="S625" s="11"/>
      <c r="T625" s="11"/>
      <c r="U625" s="15"/>
      <c r="V625" s="11"/>
      <c r="W625" s="11"/>
      <c r="X625" s="11"/>
      <c r="Y625" s="11"/>
      <c r="Z625" s="11"/>
    </row>
    <row r="626">
      <c r="A626" s="18"/>
      <c r="B626" s="11"/>
      <c r="C626" s="11"/>
      <c r="D626" s="11"/>
      <c r="E626" s="11"/>
      <c r="F626" s="11"/>
      <c r="G626" s="11"/>
      <c r="H626" s="11"/>
      <c r="I626" s="11"/>
      <c r="J626" s="11"/>
      <c r="K626" s="11"/>
      <c r="L626" s="15"/>
      <c r="M626" s="15"/>
      <c r="N626" s="15"/>
      <c r="O626" s="15"/>
      <c r="P626" s="15"/>
      <c r="Q626" s="11"/>
      <c r="R626" s="11"/>
      <c r="S626" s="11"/>
      <c r="T626" s="11"/>
      <c r="U626" s="15"/>
      <c r="V626" s="11"/>
      <c r="W626" s="11"/>
      <c r="X626" s="11"/>
      <c r="Y626" s="11"/>
      <c r="Z626" s="11"/>
    </row>
    <row r="627">
      <c r="A627" s="18"/>
      <c r="B627" s="11"/>
      <c r="C627" s="11"/>
      <c r="D627" s="11"/>
      <c r="E627" s="11"/>
      <c r="F627" s="11"/>
      <c r="G627" s="11"/>
      <c r="H627" s="11"/>
      <c r="I627" s="11"/>
      <c r="J627" s="11"/>
      <c r="K627" s="11"/>
      <c r="L627" s="15"/>
      <c r="M627" s="15"/>
      <c r="N627" s="15"/>
      <c r="O627" s="15"/>
      <c r="P627" s="15"/>
      <c r="Q627" s="11"/>
      <c r="R627" s="11"/>
      <c r="S627" s="11"/>
      <c r="T627" s="11"/>
      <c r="U627" s="15"/>
      <c r="V627" s="11"/>
      <c r="W627" s="11"/>
      <c r="X627" s="11"/>
      <c r="Y627" s="11"/>
      <c r="Z627" s="11"/>
    </row>
    <row r="628">
      <c r="A628" s="18"/>
      <c r="B628" s="11"/>
      <c r="C628" s="11"/>
      <c r="D628" s="11"/>
      <c r="E628" s="11"/>
      <c r="F628" s="11"/>
      <c r="G628" s="11"/>
      <c r="H628" s="11"/>
      <c r="I628" s="11"/>
      <c r="J628" s="11"/>
      <c r="K628" s="11"/>
      <c r="L628" s="15"/>
      <c r="M628" s="15"/>
      <c r="N628" s="15"/>
      <c r="O628" s="15"/>
      <c r="P628" s="15"/>
      <c r="Q628" s="11"/>
      <c r="R628" s="11"/>
      <c r="S628" s="11"/>
      <c r="T628" s="11"/>
      <c r="U628" s="15"/>
      <c r="V628" s="11"/>
      <c r="W628" s="11"/>
      <c r="X628" s="11"/>
      <c r="Y628" s="11"/>
      <c r="Z628" s="11"/>
    </row>
    <row r="629">
      <c r="A629" s="18"/>
      <c r="B629" s="11"/>
      <c r="C629" s="11"/>
      <c r="D629" s="11"/>
      <c r="E629" s="11"/>
      <c r="F629" s="11"/>
      <c r="G629" s="11"/>
      <c r="H629" s="11"/>
      <c r="I629" s="11"/>
      <c r="J629" s="11"/>
      <c r="K629" s="11"/>
      <c r="L629" s="15"/>
      <c r="M629" s="15"/>
      <c r="N629" s="15"/>
      <c r="O629" s="15"/>
      <c r="P629" s="15"/>
      <c r="Q629" s="11"/>
      <c r="R629" s="11"/>
      <c r="S629" s="11"/>
      <c r="T629" s="11"/>
      <c r="U629" s="15"/>
      <c r="V629" s="11"/>
      <c r="W629" s="11"/>
      <c r="X629" s="11"/>
      <c r="Y629" s="11"/>
      <c r="Z629" s="11"/>
    </row>
    <row r="630">
      <c r="A630" s="18"/>
      <c r="B630" s="11"/>
      <c r="C630" s="11"/>
      <c r="D630" s="11"/>
      <c r="E630" s="11"/>
      <c r="F630" s="11"/>
      <c r="G630" s="11"/>
      <c r="H630" s="11"/>
      <c r="I630" s="11"/>
      <c r="J630" s="11"/>
      <c r="K630" s="11"/>
      <c r="L630" s="15"/>
      <c r="M630" s="15"/>
      <c r="N630" s="15"/>
      <c r="O630" s="15"/>
      <c r="P630" s="15"/>
      <c r="Q630" s="11"/>
      <c r="R630" s="11"/>
      <c r="S630" s="11"/>
      <c r="T630" s="11"/>
      <c r="U630" s="15"/>
      <c r="V630" s="11"/>
      <c r="W630" s="11"/>
      <c r="X630" s="11"/>
      <c r="Y630" s="11"/>
      <c r="Z630" s="11"/>
    </row>
    <row r="631">
      <c r="A631" s="18"/>
      <c r="B631" s="11"/>
      <c r="C631" s="11"/>
      <c r="D631" s="11"/>
      <c r="E631" s="11"/>
      <c r="F631" s="11"/>
      <c r="G631" s="11"/>
      <c r="H631" s="11"/>
      <c r="I631" s="11"/>
      <c r="J631" s="11"/>
      <c r="K631" s="11"/>
      <c r="L631" s="15"/>
      <c r="M631" s="15"/>
      <c r="N631" s="15"/>
      <c r="O631" s="15"/>
      <c r="P631" s="15"/>
      <c r="Q631" s="11"/>
      <c r="R631" s="11"/>
      <c r="S631" s="11"/>
      <c r="T631" s="11"/>
      <c r="U631" s="15"/>
      <c r="V631" s="11"/>
      <c r="W631" s="11"/>
      <c r="X631" s="11"/>
      <c r="Y631" s="11"/>
      <c r="Z631" s="11"/>
    </row>
    <row r="632">
      <c r="A632" s="18"/>
      <c r="B632" s="11"/>
      <c r="C632" s="11"/>
      <c r="D632" s="11"/>
      <c r="E632" s="11"/>
      <c r="F632" s="11"/>
      <c r="G632" s="11"/>
      <c r="H632" s="11"/>
      <c r="I632" s="11"/>
      <c r="J632" s="11"/>
      <c r="K632" s="11"/>
      <c r="L632" s="15"/>
      <c r="M632" s="15"/>
      <c r="N632" s="15"/>
      <c r="O632" s="15"/>
      <c r="P632" s="15"/>
      <c r="Q632" s="11"/>
      <c r="R632" s="11"/>
      <c r="S632" s="11"/>
      <c r="T632" s="11"/>
      <c r="U632" s="15"/>
      <c r="V632" s="11"/>
      <c r="W632" s="11"/>
      <c r="X632" s="11"/>
      <c r="Y632" s="11"/>
      <c r="Z632" s="11"/>
    </row>
    <row r="633">
      <c r="A633" s="18"/>
      <c r="B633" s="11"/>
      <c r="C633" s="11"/>
      <c r="D633" s="11"/>
      <c r="E633" s="11"/>
      <c r="F633" s="11"/>
      <c r="G633" s="11"/>
      <c r="H633" s="11"/>
      <c r="I633" s="11"/>
      <c r="J633" s="11"/>
      <c r="K633" s="11"/>
      <c r="L633" s="15"/>
      <c r="M633" s="15"/>
      <c r="N633" s="15"/>
      <c r="O633" s="15"/>
      <c r="P633" s="15"/>
      <c r="Q633" s="11"/>
      <c r="R633" s="11"/>
      <c r="S633" s="11"/>
      <c r="T633" s="11"/>
      <c r="U633" s="15"/>
      <c r="V633" s="11"/>
      <c r="W633" s="11"/>
      <c r="X633" s="11"/>
      <c r="Y633" s="11"/>
      <c r="Z633" s="11"/>
    </row>
    <row r="634">
      <c r="A634" s="18"/>
      <c r="B634" s="11"/>
      <c r="C634" s="11"/>
      <c r="D634" s="11"/>
      <c r="E634" s="11"/>
      <c r="F634" s="11"/>
      <c r="G634" s="11"/>
      <c r="H634" s="11"/>
      <c r="I634" s="11"/>
      <c r="J634" s="11"/>
      <c r="K634" s="11"/>
      <c r="L634" s="15"/>
      <c r="M634" s="15"/>
      <c r="N634" s="15"/>
      <c r="O634" s="15"/>
      <c r="P634" s="15"/>
      <c r="Q634" s="11"/>
      <c r="R634" s="11"/>
      <c r="S634" s="11"/>
      <c r="T634" s="11"/>
      <c r="U634" s="15"/>
      <c r="V634" s="11"/>
      <c r="W634" s="11"/>
      <c r="X634" s="11"/>
      <c r="Y634" s="11"/>
      <c r="Z634" s="11"/>
    </row>
    <row r="635">
      <c r="A635" s="18"/>
      <c r="B635" s="11"/>
      <c r="C635" s="11"/>
      <c r="D635" s="11"/>
      <c r="E635" s="11"/>
      <c r="F635" s="11"/>
      <c r="G635" s="11"/>
      <c r="H635" s="11"/>
      <c r="I635" s="11"/>
      <c r="J635" s="11"/>
      <c r="K635" s="11"/>
      <c r="L635" s="15"/>
      <c r="M635" s="15"/>
      <c r="N635" s="15"/>
      <c r="O635" s="15"/>
      <c r="P635" s="15"/>
      <c r="Q635" s="11"/>
      <c r="R635" s="11"/>
      <c r="S635" s="11"/>
      <c r="T635" s="11"/>
      <c r="U635" s="15"/>
      <c r="V635" s="11"/>
      <c r="W635" s="11"/>
      <c r="X635" s="11"/>
      <c r="Y635" s="11"/>
      <c r="Z635" s="11"/>
    </row>
    <row r="636">
      <c r="A636" s="18"/>
      <c r="B636" s="11"/>
      <c r="C636" s="11"/>
      <c r="D636" s="11"/>
      <c r="E636" s="11"/>
      <c r="F636" s="11"/>
      <c r="G636" s="11"/>
      <c r="H636" s="11"/>
      <c r="I636" s="11"/>
      <c r="J636" s="11"/>
      <c r="K636" s="11"/>
      <c r="L636" s="15"/>
      <c r="M636" s="15"/>
      <c r="N636" s="15"/>
      <c r="O636" s="15"/>
      <c r="P636" s="15"/>
      <c r="Q636" s="11"/>
      <c r="R636" s="11"/>
      <c r="S636" s="11"/>
      <c r="T636" s="11"/>
      <c r="U636" s="15"/>
      <c r="V636" s="11"/>
      <c r="W636" s="11"/>
      <c r="X636" s="11"/>
      <c r="Y636" s="11"/>
      <c r="Z636" s="11"/>
    </row>
    <row r="637">
      <c r="A637" s="18"/>
      <c r="B637" s="11"/>
      <c r="C637" s="11"/>
      <c r="D637" s="11"/>
      <c r="E637" s="11"/>
      <c r="F637" s="11"/>
      <c r="G637" s="11"/>
      <c r="H637" s="11"/>
      <c r="I637" s="11"/>
      <c r="J637" s="11"/>
      <c r="K637" s="11"/>
      <c r="L637" s="15"/>
      <c r="M637" s="15"/>
      <c r="N637" s="15"/>
      <c r="O637" s="15"/>
      <c r="P637" s="15"/>
      <c r="Q637" s="11"/>
      <c r="R637" s="11"/>
      <c r="S637" s="11"/>
      <c r="T637" s="11"/>
      <c r="U637" s="15"/>
      <c r="V637" s="11"/>
      <c r="W637" s="11"/>
      <c r="X637" s="11"/>
      <c r="Y637" s="11"/>
      <c r="Z637" s="11"/>
    </row>
    <row r="638">
      <c r="A638" s="18"/>
      <c r="B638" s="11"/>
      <c r="C638" s="11"/>
      <c r="D638" s="11"/>
      <c r="E638" s="11"/>
      <c r="F638" s="11"/>
      <c r="G638" s="11"/>
      <c r="H638" s="11"/>
      <c r="I638" s="11"/>
      <c r="J638" s="11"/>
      <c r="K638" s="11"/>
      <c r="L638" s="15"/>
      <c r="M638" s="15"/>
      <c r="N638" s="15"/>
      <c r="O638" s="15"/>
      <c r="P638" s="15"/>
      <c r="Q638" s="11"/>
      <c r="R638" s="11"/>
      <c r="S638" s="11"/>
      <c r="T638" s="11"/>
      <c r="U638" s="15"/>
      <c r="V638" s="11"/>
      <c r="W638" s="11"/>
      <c r="X638" s="11"/>
      <c r="Y638" s="11"/>
      <c r="Z638" s="11"/>
    </row>
    <row r="639">
      <c r="A639" s="18"/>
      <c r="B639" s="11"/>
      <c r="C639" s="11"/>
      <c r="D639" s="11"/>
      <c r="E639" s="11"/>
      <c r="F639" s="11"/>
      <c r="G639" s="11"/>
      <c r="H639" s="11"/>
      <c r="I639" s="11"/>
      <c r="J639" s="11"/>
      <c r="K639" s="11"/>
      <c r="L639" s="15"/>
      <c r="M639" s="15"/>
      <c r="N639" s="15"/>
      <c r="O639" s="15"/>
      <c r="P639" s="15"/>
      <c r="Q639" s="11"/>
      <c r="R639" s="11"/>
      <c r="S639" s="11"/>
      <c r="T639" s="11"/>
      <c r="U639" s="15"/>
      <c r="V639" s="11"/>
      <c r="W639" s="11"/>
      <c r="X639" s="11"/>
      <c r="Y639" s="11"/>
      <c r="Z639" s="11"/>
    </row>
    <row r="640">
      <c r="A640" s="18"/>
      <c r="B640" s="11"/>
      <c r="C640" s="11"/>
      <c r="D640" s="11"/>
      <c r="E640" s="11"/>
      <c r="F640" s="11"/>
      <c r="G640" s="11"/>
      <c r="H640" s="11"/>
      <c r="I640" s="11"/>
      <c r="J640" s="11"/>
      <c r="K640" s="11"/>
      <c r="L640" s="15"/>
      <c r="M640" s="15"/>
      <c r="N640" s="15"/>
      <c r="O640" s="15"/>
      <c r="P640" s="15"/>
      <c r="Q640" s="11"/>
      <c r="R640" s="11"/>
      <c r="S640" s="11"/>
      <c r="T640" s="11"/>
      <c r="U640" s="15"/>
      <c r="V640" s="11"/>
      <c r="W640" s="11"/>
      <c r="X640" s="11"/>
      <c r="Y640" s="11"/>
      <c r="Z640" s="11"/>
    </row>
    <row r="641">
      <c r="A641" s="18"/>
      <c r="B641" s="11"/>
      <c r="C641" s="11"/>
      <c r="D641" s="11"/>
      <c r="E641" s="11"/>
      <c r="F641" s="11"/>
      <c r="G641" s="11"/>
      <c r="H641" s="11"/>
      <c r="I641" s="11"/>
      <c r="J641" s="11"/>
      <c r="K641" s="11"/>
      <c r="L641" s="15"/>
      <c r="M641" s="15"/>
      <c r="N641" s="15"/>
      <c r="O641" s="15"/>
      <c r="P641" s="15"/>
      <c r="Q641" s="11"/>
      <c r="R641" s="11"/>
      <c r="S641" s="11"/>
      <c r="T641" s="11"/>
      <c r="U641" s="15"/>
      <c r="V641" s="11"/>
      <c r="W641" s="11"/>
      <c r="X641" s="11"/>
      <c r="Y641" s="11"/>
      <c r="Z641" s="11"/>
    </row>
    <row r="642">
      <c r="A642" s="18"/>
      <c r="B642" s="11"/>
      <c r="C642" s="11"/>
      <c r="D642" s="11"/>
      <c r="E642" s="11"/>
      <c r="F642" s="11"/>
      <c r="G642" s="11"/>
      <c r="H642" s="11"/>
      <c r="I642" s="11"/>
      <c r="J642" s="11"/>
      <c r="K642" s="11"/>
      <c r="L642" s="15"/>
      <c r="M642" s="15"/>
      <c r="N642" s="15"/>
      <c r="O642" s="15"/>
      <c r="P642" s="15"/>
      <c r="Q642" s="11"/>
      <c r="R642" s="11"/>
      <c r="S642" s="11"/>
      <c r="T642" s="11"/>
      <c r="U642" s="15"/>
      <c r="V642" s="11"/>
      <c r="W642" s="11"/>
      <c r="X642" s="11"/>
      <c r="Y642" s="11"/>
      <c r="Z642" s="11"/>
    </row>
    <row r="643">
      <c r="A643" s="18"/>
      <c r="B643" s="11"/>
      <c r="C643" s="11"/>
      <c r="D643" s="11"/>
      <c r="E643" s="11"/>
      <c r="F643" s="11"/>
      <c r="G643" s="11"/>
      <c r="H643" s="11"/>
      <c r="I643" s="11"/>
      <c r="J643" s="11"/>
      <c r="K643" s="11"/>
      <c r="L643" s="15"/>
      <c r="M643" s="15"/>
      <c r="N643" s="15"/>
      <c r="O643" s="15"/>
      <c r="P643" s="15"/>
      <c r="Q643" s="11"/>
      <c r="R643" s="11"/>
      <c r="S643" s="11"/>
      <c r="T643" s="11"/>
      <c r="U643" s="15"/>
      <c r="V643" s="11"/>
      <c r="W643" s="11"/>
      <c r="X643" s="11"/>
      <c r="Y643" s="11"/>
      <c r="Z643" s="11"/>
    </row>
    <row r="644">
      <c r="A644" s="18"/>
      <c r="B644" s="11"/>
      <c r="C644" s="11"/>
      <c r="D644" s="11"/>
      <c r="E644" s="11"/>
      <c r="F644" s="11"/>
      <c r="G644" s="11"/>
      <c r="H644" s="11"/>
      <c r="I644" s="11"/>
      <c r="J644" s="11"/>
      <c r="K644" s="11"/>
      <c r="L644" s="15"/>
      <c r="M644" s="15"/>
      <c r="N644" s="15"/>
      <c r="O644" s="15"/>
      <c r="P644" s="15"/>
      <c r="Q644" s="11"/>
      <c r="R644" s="11"/>
      <c r="S644" s="11"/>
      <c r="T644" s="11"/>
      <c r="U644" s="15"/>
      <c r="V644" s="11"/>
      <c r="W644" s="11"/>
      <c r="X644" s="11"/>
      <c r="Y644" s="11"/>
      <c r="Z644" s="11"/>
    </row>
    <row r="645">
      <c r="A645" s="18"/>
      <c r="B645" s="11"/>
      <c r="C645" s="11"/>
      <c r="D645" s="11"/>
      <c r="E645" s="11"/>
      <c r="F645" s="11"/>
      <c r="G645" s="11"/>
      <c r="H645" s="11"/>
      <c r="I645" s="11"/>
      <c r="J645" s="11"/>
      <c r="K645" s="11"/>
      <c r="L645" s="15"/>
      <c r="M645" s="15"/>
      <c r="N645" s="15"/>
      <c r="O645" s="15"/>
      <c r="P645" s="15"/>
      <c r="Q645" s="11"/>
      <c r="R645" s="11"/>
      <c r="S645" s="11"/>
      <c r="T645" s="11"/>
      <c r="U645" s="15"/>
      <c r="V645" s="11"/>
      <c r="W645" s="11"/>
      <c r="X645" s="11"/>
      <c r="Y645" s="11"/>
      <c r="Z645" s="11"/>
    </row>
    <row r="646">
      <c r="A646" s="18"/>
      <c r="B646" s="11"/>
      <c r="C646" s="11"/>
      <c r="D646" s="11"/>
      <c r="E646" s="11"/>
      <c r="F646" s="11"/>
      <c r="G646" s="11"/>
      <c r="H646" s="11"/>
      <c r="I646" s="11"/>
      <c r="J646" s="11"/>
      <c r="K646" s="11"/>
      <c r="L646" s="15"/>
      <c r="M646" s="15"/>
      <c r="N646" s="15"/>
      <c r="O646" s="15"/>
      <c r="P646" s="15"/>
      <c r="Q646" s="11"/>
      <c r="R646" s="11"/>
      <c r="S646" s="11"/>
      <c r="T646" s="11"/>
      <c r="U646" s="15"/>
      <c r="V646" s="11"/>
      <c r="W646" s="11"/>
      <c r="X646" s="11"/>
      <c r="Y646" s="11"/>
      <c r="Z646" s="11"/>
    </row>
    <row r="647">
      <c r="A647" s="18"/>
      <c r="B647" s="11"/>
      <c r="C647" s="11"/>
      <c r="D647" s="11"/>
      <c r="E647" s="11"/>
      <c r="F647" s="11"/>
      <c r="G647" s="11"/>
      <c r="H647" s="11"/>
      <c r="I647" s="11"/>
      <c r="J647" s="11"/>
      <c r="K647" s="11"/>
      <c r="L647" s="15"/>
      <c r="M647" s="15"/>
      <c r="N647" s="15"/>
      <c r="O647" s="15"/>
      <c r="P647" s="15"/>
      <c r="Q647" s="11"/>
      <c r="R647" s="11"/>
      <c r="S647" s="11"/>
      <c r="T647" s="11"/>
      <c r="U647" s="15"/>
      <c r="V647" s="11"/>
      <c r="W647" s="11"/>
      <c r="X647" s="11"/>
      <c r="Y647" s="11"/>
      <c r="Z647" s="11"/>
    </row>
    <row r="648">
      <c r="A648" s="18"/>
      <c r="B648" s="11"/>
      <c r="C648" s="11"/>
      <c r="D648" s="11"/>
      <c r="E648" s="11"/>
      <c r="F648" s="11"/>
      <c r="G648" s="11"/>
      <c r="H648" s="11"/>
      <c r="I648" s="11"/>
      <c r="J648" s="11"/>
      <c r="K648" s="11"/>
      <c r="L648" s="15"/>
      <c r="M648" s="15"/>
      <c r="N648" s="15"/>
      <c r="O648" s="15"/>
      <c r="P648" s="15"/>
      <c r="Q648" s="11"/>
      <c r="R648" s="11"/>
      <c r="S648" s="11"/>
      <c r="T648" s="11"/>
      <c r="U648" s="15"/>
      <c r="V648" s="11"/>
      <c r="W648" s="11"/>
      <c r="X648" s="11"/>
      <c r="Y648" s="11"/>
      <c r="Z648" s="11"/>
    </row>
    <row r="649">
      <c r="A649" s="18"/>
      <c r="B649" s="11"/>
      <c r="C649" s="11"/>
      <c r="D649" s="11"/>
      <c r="E649" s="11"/>
      <c r="F649" s="11"/>
      <c r="G649" s="11"/>
      <c r="H649" s="11"/>
      <c r="I649" s="11"/>
      <c r="J649" s="11"/>
      <c r="K649" s="11"/>
      <c r="L649" s="15"/>
      <c r="M649" s="15"/>
      <c r="N649" s="15"/>
      <c r="O649" s="15"/>
      <c r="P649" s="15"/>
      <c r="Q649" s="11"/>
      <c r="R649" s="11"/>
      <c r="S649" s="11"/>
      <c r="T649" s="11"/>
      <c r="U649" s="15"/>
      <c r="V649" s="11"/>
      <c r="W649" s="11"/>
      <c r="X649" s="11"/>
      <c r="Y649" s="11"/>
      <c r="Z649" s="11"/>
    </row>
    <row r="650">
      <c r="A650" s="18"/>
      <c r="B650" s="11"/>
      <c r="C650" s="11"/>
      <c r="D650" s="11"/>
      <c r="E650" s="11"/>
      <c r="F650" s="11"/>
      <c r="G650" s="11"/>
      <c r="H650" s="11"/>
      <c r="I650" s="11"/>
      <c r="J650" s="11"/>
      <c r="K650" s="11"/>
      <c r="L650" s="15"/>
      <c r="M650" s="15"/>
      <c r="N650" s="15"/>
      <c r="O650" s="15"/>
      <c r="P650" s="15"/>
      <c r="Q650" s="11"/>
      <c r="R650" s="11"/>
      <c r="S650" s="11"/>
      <c r="T650" s="11"/>
      <c r="U650" s="15"/>
      <c r="V650" s="11"/>
      <c r="W650" s="11"/>
      <c r="X650" s="11"/>
      <c r="Y650" s="11"/>
      <c r="Z650" s="11"/>
    </row>
    <row r="651">
      <c r="A651" s="18"/>
      <c r="B651" s="11"/>
      <c r="C651" s="11"/>
      <c r="D651" s="11"/>
      <c r="E651" s="11"/>
      <c r="F651" s="11"/>
      <c r="G651" s="11"/>
      <c r="H651" s="11"/>
      <c r="I651" s="11"/>
      <c r="J651" s="11"/>
      <c r="K651" s="11"/>
      <c r="L651" s="15"/>
      <c r="M651" s="15"/>
      <c r="N651" s="15"/>
      <c r="O651" s="15"/>
      <c r="P651" s="15"/>
      <c r="Q651" s="11"/>
      <c r="R651" s="11"/>
      <c r="S651" s="11"/>
      <c r="T651" s="11"/>
      <c r="U651" s="15"/>
      <c r="V651" s="11"/>
      <c r="W651" s="11"/>
      <c r="X651" s="11"/>
      <c r="Y651" s="11"/>
      <c r="Z651" s="11"/>
    </row>
    <row r="652">
      <c r="A652" s="18"/>
      <c r="B652" s="11"/>
      <c r="C652" s="11"/>
      <c r="D652" s="11"/>
      <c r="E652" s="11"/>
      <c r="F652" s="11"/>
      <c r="G652" s="11"/>
      <c r="H652" s="11"/>
      <c r="I652" s="11"/>
      <c r="J652" s="11"/>
      <c r="K652" s="11"/>
      <c r="L652" s="15"/>
      <c r="M652" s="15"/>
      <c r="N652" s="15"/>
      <c r="O652" s="15"/>
      <c r="P652" s="15"/>
      <c r="Q652" s="11"/>
      <c r="R652" s="11"/>
      <c r="S652" s="11"/>
      <c r="T652" s="11"/>
      <c r="U652" s="15"/>
      <c r="V652" s="11"/>
      <c r="W652" s="11"/>
      <c r="X652" s="11"/>
      <c r="Y652" s="11"/>
      <c r="Z652" s="11"/>
    </row>
    <row r="653">
      <c r="A653" s="18"/>
      <c r="B653" s="11"/>
      <c r="C653" s="11"/>
      <c r="D653" s="11"/>
      <c r="E653" s="11"/>
      <c r="F653" s="11"/>
      <c r="G653" s="11"/>
      <c r="H653" s="11"/>
      <c r="I653" s="11"/>
      <c r="J653" s="11"/>
      <c r="K653" s="11"/>
      <c r="L653" s="15"/>
      <c r="M653" s="15"/>
      <c r="N653" s="15"/>
      <c r="O653" s="15"/>
      <c r="P653" s="15"/>
      <c r="Q653" s="11"/>
      <c r="R653" s="11"/>
      <c r="S653" s="11"/>
      <c r="T653" s="11"/>
      <c r="U653" s="15"/>
      <c r="V653" s="11"/>
      <c r="W653" s="11"/>
      <c r="X653" s="11"/>
      <c r="Y653" s="11"/>
      <c r="Z653" s="11"/>
    </row>
    <row r="654">
      <c r="A654" s="18"/>
      <c r="B654" s="11"/>
      <c r="C654" s="11"/>
      <c r="D654" s="11"/>
      <c r="E654" s="11"/>
      <c r="F654" s="11"/>
      <c r="G654" s="11"/>
      <c r="H654" s="11"/>
      <c r="I654" s="11"/>
      <c r="J654" s="11"/>
      <c r="K654" s="11"/>
      <c r="L654" s="15"/>
      <c r="M654" s="15"/>
      <c r="N654" s="15"/>
      <c r="O654" s="15"/>
      <c r="P654" s="15"/>
      <c r="Q654" s="11"/>
      <c r="R654" s="11"/>
      <c r="S654" s="11"/>
      <c r="T654" s="11"/>
      <c r="U654" s="15"/>
      <c r="V654" s="11"/>
      <c r="W654" s="11"/>
      <c r="X654" s="11"/>
      <c r="Y654" s="11"/>
      <c r="Z654" s="11"/>
    </row>
    <row r="655">
      <c r="A655" s="18"/>
      <c r="B655" s="11"/>
      <c r="C655" s="11"/>
      <c r="D655" s="11"/>
      <c r="E655" s="11"/>
      <c r="F655" s="11"/>
      <c r="G655" s="11"/>
      <c r="H655" s="11"/>
      <c r="I655" s="11"/>
      <c r="J655" s="11"/>
      <c r="K655" s="11"/>
      <c r="L655" s="15"/>
      <c r="M655" s="15"/>
      <c r="N655" s="15"/>
      <c r="O655" s="15"/>
      <c r="P655" s="15"/>
      <c r="Q655" s="11"/>
      <c r="R655" s="11"/>
      <c r="S655" s="11"/>
      <c r="T655" s="11"/>
      <c r="U655" s="15"/>
      <c r="V655" s="11"/>
      <c r="W655" s="11"/>
      <c r="X655" s="11"/>
      <c r="Y655" s="11"/>
      <c r="Z655" s="11"/>
    </row>
    <row r="656">
      <c r="A656" s="18"/>
      <c r="B656" s="11"/>
      <c r="C656" s="11"/>
      <c r="D656" s="11"/>
      <c r="E656" s="11"/>
      <c r="F656" s="11"/>
      <c r="G656" s="11"/>
      <c r="H656" s="11"/>
      <c r="I656" s="11"/>
      <c r="J656" s="11"/>
      <c r="K656" s="11"/>
      <c r="L656" s="15"/>
      <c r="M656" s="15"/>
      <c r="N656" s="15"/>
      <c r="O656" s="15"/>
      <c r="P656" s="15"/>
      <c r="Q656" s="11"/>
      <c r="R656" s="11"/>
      <c r="S656" s="11"/>
      <c r="T656" s="11"/>
      <c r="U656" s="15"/>
      <c r="V656" s="11"/>
      <c r="W656" s="11"/>
      <c r="X656" s="11"/>
      <c r="Y656" s="11"/>
      <c r="Z656" s="11"/>
    </row>
    <row r="657">
      <c r="A657" s="18"/>
      <c r="B657" s="11"/>
      <c r="C657" s="11"/>
      <c r="D657" s="11"/>
      <c r="E657" s="11"/>
      <c r="F657" s="11"/>
      <c r="G657" s="11"/>
      <c r="H657" s="11"/>
      <c r="I657" s="11"/>
      <c r="J657" s="11"/>
      <c r="K657" s="11"/>
      <c r="L657" s="15"/>
      <c r="M657" s="15"/>
      <c r="N657" s="15"/>
      <c r="O657" s="15"/>
      <c r="P657" s="15"/>
      <c r="Q657" s="11"/>
      <c r="R657" s="11"/>
      <c r="S657" s="11"/>
      <c r="T657" s="11"/>
      <c r="U657" s="15"/>
      <c r="V657" s="11"/>
      <c r="W657" s="11"/>
      <c r="X657" s="11"/>
      <c r="Y657" s="11"/>
      <c r="Z657" s="11"/>
    </row>
    <row r="658">
      <c r="A658" s="18"/>
      <c r="B658" s="11"/>
      <c r="C658" s="11"/>
      <c r="D658" s="11"/>
      <c r="E658" s="11"/>
      <c r="F658" s="11"/>
      <c r="G658" s="11"/>
      <c r="H658" s="11"/>
      <c r="I658" s="11"/>
      <c r="J658" s="11"/>
      <c r="K658" s="11"/>
      <c r="L658" s="15"/>
      <c r="M658" s="15"/>
      <c r="N658" s="15"/>
      <c r="O658" s="15"/>
      <c r="P658" s="15"/>
      <c r="Q658" s="11"/>
      <c r="R658" s="11"/>
      <c r="S658" s="11"/>
      <c r="T658" s="11"/>
      <c r="U658" s="15"/>
      <c r="V658" s="11"/>
      <c r="W658" s="11"/>
      <c r="X658" s="11"/>
      <c r="Y658" s="11"/>
      <c r="Z658" s="11"/>
    </row>
    <row r="659">
      <c r="A659" s="18"/>
      <c r="B659" s="11"/>
      <c r="C659" s="11"/>
      <c r="D659" s="11"/>
      <c r="E659" s="11"/>
      <c r="F659" s="11"/>
      <c r="G659" s="11"/>
      <c r="H659" s="11"/>
      <c r="I659" s="11"/>
      <c r="J659" s="11"/>
      <c r="K659" s="11"/>
      <c r="L659" s="15"/>
      <c r="M659" s="15"/>
      <c r="N659" s="15"/>
      <c r="O659" s="15"/>
      <c r="P659" s="15"/>
      <c r="Q659" s="11"/>
      <c r="R659" s="11"/>
      <c r="S659" s="11"/>
      <c r="T659" s="11"/>
      <c r="U659" s="15"/>
      <c r="V659" s="11"/>
      <c r="W659" s="11"/>
      <c r="X659" s="11"/>
      <c r="Y659" s="11"/>
      <c r="Z659" s="11"/>
    </row>
    <row r="660">
      <c r="A660" s="18"/>
      <c r="B660" s="11"/>
      <c r="C660" s="11"/>
      <c r="D660" s="11"/>
      <c r="E660" s="11"/>
      <c r="F660" s="11"/>
      <c r="G660" s="11"/>
      <c r="H660" s="11"/>
      <c r="I660" s="11"/>
      <c r="J660" s="11"/>
      <c r="K660" s="11"/>
      <c r="L660" s="15"/>
      <c r="M660" s="15"/>
      <c r="N660" s="15"/>
      <c r="O660" s="15"/>
      <c r="P660" s="15"/>
      <c r="Q660" s="11"/>
      <c r="R660" s="11"/>
      <c r="S660" s="11"/>
      <c r="T660" s="11"/>
      <c r="U660" s="15"/>
      <c r="V660" s="11"/>
      <c r="W660" s="11"/>
      <c r="X660" s="11"/>
      <c r="Y660" s="11"/>
      <c r="Z660" s="11"/>
    </row>
    <row r="661">
      <c r="A661" s="18"/>
      <c r="B661" s="11"/>
      <c r="C661" s="11"/>
      <c r="D661" s="11"/>
      <c r="E661" s="11"/>
      <c r="F661" s="11"/>
      <c r="G661" s="11"/>
      <c r="H661" s="11"/>
      <c r="I661" s="11"/>
      <c r="J661" s="11"/>
      <c r="K661" s="11"/>
      <c r="L661" s="15"/>
      <c r="M661" s="15"/>
      <c r="N661" s="15"/>
      <c r="O661" s="15"/>
      <c r="P661" s="15"/>
      <c r="Q661" s="11"/>
      <c r="R661" s="11"/>
      <c r="S661" s="11"/>
      <c r="T661" s="11"/>
      <c r="U661" s="15"/>
      <c r="V661" s="11"/>
      <c r="W661" s="11"/>
      <c r="X661" s="11"/>
      <c r="Y661" s="11"/>
      <c r="Z661" s="11"/>
    </row>
    <row r="662">
      <c r="A662" s="18"/>
      <c r="B662" s="11"/>
      <c r="C662" s="11"/>
      <c r="D662" s="11"/>
      <c r="E662" s="11"/>
      <c r="F662" s="11"/>
      <c r="G662" s="11"/>
      <c r="H662" s="11"/>
      <c r="I662" s="11"/>
      <c r="J662" s="11"/>
      <c r="K662" s="11"/>
      <c r="L662" s="15"/>
      <c r="M662" s="15"/>
      <c r="N662" s="15"/>
      <c r="O662" s="15"/>
      <c r="P662" s="15"/>
      <c r="Q662" s="11"/>
      <c r="R662" s="11"/>
      <c r="S662" s="11"/>
      <c r="T662" s="11"/>
      <c r="U662" s="15"/>
      <c r="V662" s="11"/>
      <c r="W662" s="11"/>
      <c r="X662" s="11"/>
      <c r="Y662" s="11"/>
      <c r="Z662" s="11"/>
    </row>
    <row r="663">
      <c r="A663" s="18"/>
      <c r="B663" s="11"/>
      <c r="C663" s="11"/>
      <c r="D663" s="11"/>
      <c r="E663" s="11"/>
      <c r="F663" s="11"/>
      <c r="G663" s="11"/>
      <c r="H663" s="11"/>
      <c r="I663" s="11"/>
      <c r="J663" s="11"/>
      <c r="K663" s="11"/>
      <c r="L663" s="15"/>
      <c r="M663" s="15"/>
      <c r="N663" s="15"/>
      <c r="O663" s="15"/>
      <c r="P663" s="15"/>
      <c r="Q663" s="11"/>
      <c r="R663" s="11"/>
      <c r="S663" s="11"/>
      <c r="T663" s="11"/>
      <c r="U663" s="15"/>
      <c r="V663" s="11"/>
      <c r="W663" s="11"/>
      <c r="X663" s="11"/>
      <c r="Y663" s="11"/>
      <c r="Z663" s="11"/>
    </row>
    <row r="664">
      <c r="A664" s="18"/>
      <c r="B664" s="11"/>
      <c r="C664" s="11"/>
      <c r="D664" s="11"/>
      <c r="E664" s="11"/>
      <c r="F664" s="11"/>
      <c r="G664" s="11"/>
      <c r="H664" s="11"/>
      <c r="I664" s="11"/>
      <c r="J664" s="11"/>
      <c r="K664" s="11"/>
      <c r="L664" s="15"/>
      <c r="M664" s="15"/>
      <c r="N664" s="15"/>
      <c r="O664" s="15"/>
      <c r="P664" s="15"/>
      <c r="Q664" s="11"/>
      <c r="R664" s="11"/>
      <c r="S664" s="11"/>
      <c r="T664" s="11"/>
      <c r="U664" s="15"/>
      <c r="V664" s="11"/>
      <c r="W664" s="11"/>
      <c r="X664" s="11"/>
      <c r="Y664" s="11"/>
      <c r="Z664" s="11"/>
    </row>
    <row r="665">
      <c r="A665" s="18"/>
      <c r="B665" s="11"/>
      <c r="C665" s="11"/>
      <c r="D665" s="11"/>
      <c r="E665" s="11"/>
      <c r="F665" s="11"/>
      <c r="G665" s="11"/>
      <c r="H665" s="11"/>
      <c r="I665" s="11"/>
      <c r="J665" s="11"/>
      <c r="K665" s="11"/>
      <c r="L665" s="15"/>
      <c r="M665" s="15"/>
      <c r="N665" s="15"/>
      <c r="O665" s="15"/>
      <c r="P665" s="15"/>
      <c r="Q665" s="11"/>
      <c r="R665" s="11"/>
      <c r="S665" s="11"/>
      <c r="T665" s="11"/>
      <c r="U665" s="15"/>
      <c r="V665" s="11"/>
      <c r="W665" s="11"/>
      <c r="X665" s="11"/>
      <c r="Y665" s="11"/>
      <c r="Z665" s="11"/>
    </row>
    <row r="666">
      <c r="A666" s="18"/>
      <c r="B666" s="11"/>
      <c r="C666" s="11"/>
      <c r="D666" s="11"/>
      <c r="E666" s="11"/>
      <c r="F666" s="11"/>
      <c r="G666" s="11"/>
      <c r="H666" s="11"/>
      <c r="I666" s="11"/>
      <c r="J666" s="11"/>
      <c r="K666" s="11"/>
      <c r="L666" s="15"/>
      <c r="M666" s="15"/>
      <c r="N666" s="15"/>
      <c r="O666" s="15"/>
      <c r="P666" s="15"/>
      <c r="Q666" s="11"/>
      <c r="R666" s="11"/>
      <c r="S666" s="11"/>
      <c r="T666" s="11"/>
      <c r="U666" s="15"/>
      <c r="V666" s="11"/>
      <c r="W666" s="11"/>
      <c r="X666" s="11"/>
      <c r="Y666" s="11"/>
      <c r="Z666" s="11"/>
    </row>
    <row r="667">
      <c r="A667" s="18"/>
      <c r="B667" s="11"/>
      <c r="C667" s="11"/>
      <c r="D667" s="11"/>
      <c r="E667" s="11"/>
      <c r="F667" s="11"/>
      <c r="G667" s="11"/>
      <c r="H667" s="11"/>
      <c r="I667" s="11"/>
      <c r="J667" s="11"/>
      <c r="K667" s="11"/>
      <c r="L667" s="15"/>
      <c r="M667" s="15"/>
      <c r="N667" s="15"/>
      <c r="O667" s="15"/>
      <c r="P667" s="15"/>
      <c r="Q667" s="11"/>
      <c r="R667" s="11"/>
      <c r="S667" s="11"/>
      <c r="T667" s="11"/>
      <c r="U667" s="15"/>
      <c r="V667" s="11"/>
      <c r="W667" s="11"/>
      <c r="X667" s="11"/>
      <c r="Y667" s="11"/>
      <c r="Z667" s="11"/>
    </row>
    <row r="668">
      <c r="A668" s="18"/>
      <c r="B668" s="11"/>
      <c r="C668" s="11"/>
      <c r="D668" s="11"/>
      <c r="E668" s="11"/>
      <c r="F668" s="11"/>
      <c r="G668" s="11"/>
      <c r="H668" s="11"/>
      <c r="I668" s="11"/>
      <c r="J668" s="11"/>
      <c r="K668" s="11"/>
      <c r="L668" s="15"/>
      <c r="M668" s="15"/>
      <c r="N668" s="15"/>
      <c r="O668" s="15"/>
      <c r="P668" s="15"/>
      <c r="Q668" s="11"/>
      <c r="R668" s="11"/>
      <c r="S668" s="11"/>
      <c r="T668" s="11"/>
      <c r="U668" s="15"/>
      <c r="V668" s="11"/>
      <c r="W668" s="11"/>
      <c r="X668" s="11"/>
      <c r="Y668" s="11"/>
      <c r="Z668" s="11"/>
    </row>
    <row r="669">
      <c r="A669" s="18"/>
      <c r="B669" s="11"/>
      <c r="C669" s="11"/>
      <c r="D669" s="11"/>
      <c r="E669" s="11"/>
      <c r="F669" s="11"/>
      <c r="G669" s="11"/>
      <c r="H669" s="11"/>
      <c r="I669" s="11"/>
      <c r="J669" s="11"/>
      <c r="K669" s="11"/>
      <c r="L669" s="15"/>
      <c r="M669" s="15"/>
      <c r="N669" s="15"/>
      <c r="O669" s="15"/>
      <c r="P669" s="15"/>
      <c r="Q669" s="11"/>
      <c r="R669" s="11"/>
      <c r="S669" s="11"/>
      <c r="T669" s="11"/>
      <c r="U669" s="15"/>
      <c r="V669" s="11"/>
      <c r="W669" s="11"/>
      <c r="X669" s="11"/>
      <c r="Y669" s="11"/>
      <c r="Z669" s="11"/>
    </row>
    <row r="670">
      <c r="A670" s="18"/>
      <c r="B670" s="11"/>
      <c r="C670" s="11"/>
      <c r="D670" s="11"/>
      <c r="E670" s="11"/>
      <c r="F670" s="11"/>
      <c r="G670" s="11"/>
      <c r="H670" s="11"/>
      <c r="I670" s="11"/>
      <c r="J670" s="11"/>
      <c r="K670" s="11"/>
      <c r="L670" s="15"/>
      <c r="M670" s="15"/>
      <c r="N670" s="15"/>
      <c r="O670" s="15"/>
      <c r="P670" s="15"/>
      <c r="Q670" s="11"/>
      <c r="R670" s="11"/>
      <c r="S670" s="11"/>
      <c r="T670" s="11"/>
      <c r="U670" s="15"/>
      <c r="V670" s="11"/>
      <c r="W670" s="11"/>
      <c r="X670" s="11"/>
      <c r="Y670" s="11"/>
      <c r="Z670" s="11"/>
    </row>
    <row r="671">
      <c r="A671" s="18"/>
      <c r="B671" s="11"/>
      <c r="C671" s="11"/>
      <c r="D671" s="11"/>
      <c r="E671" s="11"/>
      <c r="F671" s="11"/>
      <c r="G671" s="11"/>
      <c r="H671" s="11"/>
      <c r="I671" s="11"/>
      <c r="J671" s="11"/>
      <c r="K671" s="11"/>
      <c r="L671" s="15"/>
      <c r="M671" s="15"/>
      <c r="N671" s="15"/>
      <c r="O671" s="15"/>
      <c r="P671" s="15"/>
      <c r="Q671" s="11"/>
      <c r="R671" s="11"/>
      <c r="S671" s="11"/>
      <c r="T671" s="11"/>
      <c r="U671" s="15"/>
      <c r="V671" s="11"/>
      <c r="W671" s="11"/>
      <c r="X671" s="11"/>
      <c r="Y671" s="11"/>
      <c r="Z671" s="11"/>
    </row>
    <row r="672">
      <c r="A672" s="18"/>
      <c r="B672" s="11"/>
      <c r="C672" s="11"/>
      <c r="D672" s="11"/>
      <c r="E672" s="11"/>
      <c r="F672" s="11"/>
      <c r="G672" s="11"/>
      <c r="H672" s="11"/>
      <c r="I672" s="11"/>
      <c r="J672" s="11"/>
      <c r="K672" s="11"/>
      <c r="L672" s="15"/>
      <c r="M672" s="15"/>
      <c r="N672" s="15"/>
      <c r="O672" s="15"/>
      <c r="P672" s="15"/>
      <c r="Q672" s="11"/>
      <c r="R672" s="11"/>
      <c r="S672" s="11"/>
      <c r="T672" s="11"/>
      <c r="U672" s="15"/>
      <c r="V672" s="11"/>
      <c r="W672" s="11"/>
      <c r="X672" s="11"/>
      <c r="Y672" s="11"/>
      <c r="Z672" s="11"/>
    </row>
    <row r="673">
      <c r="A673" s="18"/>
      <c r="B673" s="11"/>
      <c r="C673" s="11"/>
      <c r="D673" s="11"/>
      <c r="E673" s="11"/>
      <c r="F673" s="11"/>
      <c r="G673" s="11"/>
      <c r="H673" s="11"/>
      <c r="I673" s="11"/>
      <c r="J673" s="11"/>
      <c r="K673" s="11"/>
      <c r="L673" s="15"/>
      <c r="M673" s="15"/>
      <c r="N673" s="15"/>
      <c r="O673" s="15"/>
      <c r="P673" s="15"/>
      <c r="Q673" s="11"/>
      <c r="R673" s="11"/>
      <c r="S673" s="11"/>
      <c r="T673" s="11"/>
      <c r="U673" s="15"/>
      <c r="V673" s="11"/>
      <c r="W673" s="11"/>
      <c r="X673" s="11"/>
      <c r="Y673" s="11"/>
      <c r="Z673" s="11"/>
    </row>
    <row r="674">
      <c r="A674" s="18"/>
      <c r="B674" s="11"/>
      <c r="C674" s="11"/>
      <c r="D674" s="11"/>
      <c r="E674" s="11"/>
      <c r="F674" s="11"/>
      <c r="G674" s="11"/>
      <c r="H674" s="11"/>
      <c r="I674" s="11"/>
      <c r="J674" s="11"/>
      <c r="K674" s="11"/>
      <c r="L674" s="15"/>
      <c r="M674" s="15"/>
      <c r="N674" s="15"/>
      <c r="O674" s="15"/>
      <c r="P674" s="15"/>
      <c r="Q674" s="11"/>
      <c r="R674" s="11"/>
      <c r="S674" s="11"/>
      <c r="T674" s="11"/>
      <c r="U674" s="15"/>
      <c r="V674" s="11"/>
      <c r="W674" s="11"/>
      <c r="X674" s="11"/>
      <c r="Y674" s="11"/>
      <c r="Z674" s="11"/>
    </row>
    <row r="675">
      <c r="A675" s="18"/>
      <c r="B675" s="11"/>
      <c r="C675" s="11"/>
      <c r="D675" s="11"/>
      <c r="E675" s="11"/>
      <c r="F675" s="11"/>
      <c r="G675" s="11"/>
      <c r="H675" s="11"/>
      <c r="I675" s="11"/>
      <c r="J675" s="11"/>
      <c r="K675" s="11"/>
      <c r="L675" s="15"/>
      <c r="M675" s="15"/>
      <c r="N675" s="15"/>
      <c r="O675" s="15"/>
      <c r="P675" s="15"/>
      <c r="Q675" s="11"/>
      <c r="R675" s="11"/>
      <c r="S675" s="11"/>
      <c r="T675" s="11"/>
      <c r="U675" s="15"/>
      <c r="V675" s="11"/>
      <c r="W675" s="11"/>
      <c r="X675" s="11"/>
      <c r="Y675" s="11"/>
      <c r="Z675" s="11"/>
    </row>
    <row r="676">
      <c r="A676" s="18"/>
      <c r="B676" s="11"/>
      <c r="C676" s="11"/>
      <c r="D676" s="11"/>
      <c r="E676" s="11"/>
      <c r="F676" s="11"/>
      <c r="G676" s="11"/>
      <c r="H676" s="11"/>
      <c r="I676" s="11"/>
      <c r="J676" s="11"/>
      <c r="K676" s="11"/>
      <c r="L676" s="15"/>
      <c r="M676" s="15"/>
      <c r="N676" s="15"/>
      <c r="O676" s="15"/>
      <c r="P676" s="15"/>
      <c r="Q676" s="11"/>
      <c r="R676" s="11"/>
      <c r="S676" s="11"/>
      <c r="T676" s="11"/>
      <c r="U676" s="15"/>
      <c r="V676" s="11"/>
      <c r="W676" s="11"/>
      <c r="X676" s="11"/>
      <c r="Y676" s="11"/>
      <c r="Z676" s="11"/>
    </row>
    <row r="677">
      <c r="A677" s="18"/>
      <c r="B677" s="11"/>
      <c r="C677" s="11"/>
      <c r="D677" s="11"/>
      <c r="E677" s="11"/>
      <c r="F677" s="11"/>
      <c r="G677" s="11"/>
      <c r="H677" s="11"/>
      <c r="I677" s="11"/>
      <c r="J677" s="11"/>
      <c r="K677" s="11"/>
      <c r="L677" s="15"/>
      <c r="M677" s="15"/>
      <c r="N677" s="15"/>
      <c r="O677" s="15"/>
      <c r="P677" s="15"/>
      <c r="Q677" s="11"/>
      <c r="R677" s="11"/>
      <c r="S677" s="11"/>
      <c r="T677" s="11"/>
      <c r="U677" s="15"/>
      <c r="V677" s="11"/>
      <c r="W677" s="11"/>
      <c r="X677" s="11"/>
      <c r="Y677" s="11"/>
      <c r="Z677" s="11"/>
    </row>
    <row r="678">
      <c r="A678" s="18"/>
      <c r="B678" s="11"/>
      <c r="C678" s="11"/>
      <c r="D678" s="11"/>
      <c r="E678" s="11"/>
      <c r="F678" s="11"/>
      <c r="G678" s="11"/>
      <c r="H678" s="11"/>
      <c r="I678" s="11"/>
      <c r="J678" s="11"/>
      <c r="K678" s="11"/>
      <c r="L678" s="15"/>
      <c r="M678" s="15"/>
      <c r="N678" s="15"/>
      <c r="O678" s="15"/>
      <c r="P678" s="15"/>
      <c r="Q678" s="11"/>
      <c r="R678" s="11"/>
      <c r="S678" s="11"/>
      <c r="T678" s="11"/>
      <c r="U678" s="15"/>
      <c r="V678" s="11"/>
      <c r="W678" s="11"/>
      <c r="X678" s="11"/>
      <c r="Y678" s="11"/>
      <c r="Z678" s="11"/>
    </row>
    <row r="679">
      <c r="A679" s="18"/>
      <c r="B679" s="11"/>
      <c r="C679" s="11"/>
      <c r="D679" s="11"/>
      <c r="E679" s="11"/>
      <c r="F679" s="11"/>
      <c r="G679" s="11"/>
      <c r="H679" s="11"/>
      <c r="I679" s="11"/>
      <c r="J679" s="11"/>
      <c r="K679" s="11"/>
      <c r="L679" s="15"/>
      <c r="M679" s="15"/>
      <c r="N679" s="15"/>
      <c r="O679" s="15"/>
      <c r="P679" s="15"/>
      <c r="Q679" s="11"/>
      <c r="R679" s="11"/>
      <c r="S679" s="11"/>
      <c r="T679" s="11"/>
      <c r="U679" s="15"/>
      <c r="V679" s="11"/>
      <c r="W679" s="11"/>
      <c r="X679" s="11"/>
      <c r="Y679" s="11"/>
      <c r="Z679" s="11"/>
    </row>
    <row r="680">
      <c r="A680" s="18"/>
      <c r="B680" s="11"/>
      <c r="C680" s="11"/>
      <c r="D680" s="11"/>
      <c r="E680" s="11"/>
      <c r="F680" s="11"/>
      <c r="G680" s="11"/>
      <c r="H680" s="11"/>
      <c r="I680" s="11"/>
      <c r="J680" s="11"/>
      <c r="K680" s="11"/>
      <c r="L680" s="15"/>
      <c r="M680" s="15"/>
      <c r="N680" s="15"/>
      <c r="O680" s="15"/>
      <c r="P680" s="15"/>
      <c r="Q680" s="11"/>
      <c r="R680" s="11"/>
      <c r="S680" s="11"/>
      <c r="T680" s="11"/>
      <c r="U680" s="15"/>
      <c r="V680" s="11"/>
      <c r="W680" s="11"/>
      <c r="X680" s="11"/>
      <c r="Y680" s="11"/>
      <c r="Z680" s="11"/>
    </row>
    <row r="681">
      <c r="A681" s="18"/>
      <c r="B681" s="11"/>
      <c r="C681" s="11"/>
      <c r="D681" s="11"/>
      <c r="E681" s="11"/>
      <c r="F681" s="11"/>
      <c r="G681" s="11"/>
      <c r="H681" s="11"/>
      <c r="I681" s="11"/>
      <c r="J681" s="11"/>
      <c r="K681" s="11"/>
      <c r="L681" s="15"/>
      <c r="M681" s="15"/>
      <c r="N681" s="15"/>
      <c r="O681" s="15"/>
      <c r="P681" s="15"/>
      <c r="Q681" s="11"/>
      <c r="R681" s="11"/>
      <c r="S681" s="11"/>
      <c r="T681" s="11"/>
      <c r="U681" s="15"/>
      <c r="V681" s="11"/>
      <c r="W681" s="11"/>
      <c r="X681" s="11"/>
      <c r="Y681" s="11"/>
      <c r="Z681" s="11"/>
    </row>
    <row r="682">
      <c r="A682" s="18"/>
      <c r="B682" s="11"/>
      <c r="C682" s="11"/>
      <c r="D682" s="11"/>
      <c r="E682" s="11"/>
      <c r="F682" s="11"/>
      <c r="G682" s="11"/>
      <c r="H682" s="11"/>
      <c r="I682" s="11"/>
      <c r="J682" s="11"/>
      <c r="K682" s="11"/>
      <c r="L682" s="15"/>
      <c r="M682" s="15"/>
      <c r="N682" s="15"/>
      <c r="O682" s="15"/>
      <c r="P682" s="15"/>
      <c r="Q682" s="11"/>
      <c r="R682" s="11"/>
      <c r="S682" s="11"/>
      <c r="T682" s="11"/>
      <c r="U682" s="15"/>
      <c r="V682" s="11"/>
      <c r="W682" s="11"/>
      <c r="X682" s="11"/>
      <c r="Y682" s="11"/>
      <c r="Z682" s="11"/>
    </row>
    <row r="683">
      <c r="A683" s="18"/>
      <c r="B683" s="11"/>
      <c r="C683" s="11"/>
      <c r="D683" s="11"/>
      <c r="E683" s="11"/>
      <c r="F683" s="11"/>
      <c r="G683" s="11"/>
      <c r="H683" s="11"/>
      <c r="I683" s="11"/>
      <c r="J683" s="11"/>
      <c r="K683" s="11"/>
      <c r="L683" s="15"/>
      <c r="M683" s="15"/>
      <c r="N683" s="15"/>
      <c r="O683" s="15"/>
      <c r="P683" s="15"/>
      <c r="Q683" s="11"/>
      <c r="R683" s="11"/>
      <c r="S683" s="11"/>
      <c r="T683" s="11"/>
      <c r="U683" s="15"/>
      <c r="V683" s="11"/>
      <c r="W683" s="11"/>
      <c r="X683" s="11"/>
      <c r="Y683" s="11"/>
      <c r="Z683" s="11"/>
    </row>
    <row r="684">
      <c r="A684" s="18"/>
      <c r="B684" s="11"/>
      <c r="C684" s="11"/>
      <c r="D684" s="11"/>
      <c r="E684" s="11"/>
      <c r="F684" s="11"/>
      <c r="G684" s="11"/>
      <c r="H684" s="11"/>
      <c r="I684" s="11"/>
      <c r="J684" s="11"/>
      <c r="K684" s="11"/>
      <c r="L684" s="15"/>
      <c r="M684" s="15"/>
      <c r="N684" s="15"/>
      <c r="O684" s="15"/>
      <c r="P684" s="15"/>
      <c r="Q684" s="11"/>
      <c r="R684" s="11"/>
      <c r="S684" s="11"/>
      <c r="T684" s="11"/>
      <c r="U684" s="15"/>
      <c r="V684" s="11"/>
      <c r="W684" s="11"/>
      <c r="X684" s="11"/>
      <c r="Y684" s="11"/>
      <c r="Z684" s="11"/>
    </row>
    <row r="685">
      <c r="A685" s="18"/>
      <c r="B685" s="11"/>
      <c r="C685" s="11"/>
      <c r="D685" s="11"/>
      <c r="E685" s="11"/>
      <c r="F685" s="11"/>
      <c r="G685" s="11"/>
      <c r="H685" s="11"/>
      <c r="I685" s="11"/>
      <c r="J685" s="11"/>
      <c r="K685" s="11"/>
      <c r="L685" s="15"/>
      <c r="M685" s="15"/>
      <c r="N685" s="15"/>
      <c r="O685" s="15"/>
      <c r="P685" s="15"/>
      <c r="Q685" s="11"/>
      <c r="R685" s="11"/>
      <c r="S685" s="11"/>
      <c r="T685" s="11"/>
      <c r="U685" s="15"/>
      <c r="V685" s="11"/>
      <c r="W685" s="11"/>
      <c r="X685" s="11"/>
      <c r="Y685" s="11"/>
      <c r="Z685" s="11"/>
    </row>
    <row r="686">
      <c r="A686" s="18"/>
      <c r="B686" s="11"/>
      <c r="C686" s="11"/>
      <c r="D686" s="11"/>
      <c r="E686" s="11"/>
      <c r="F686" s="11"/>
      <c r="G686" s="11"/>
      <c r="H686" s="11"/>
      <c r="I686" s="11"/>
      <c r="J686" s="11"/>
      <c r="K686" s="11"/>
      <c r="L686" s="15"/>
      <c r="M686" s="15"/>
      <c r="N686" s="15"/>
      <c r="O686" s="15"/>
      <c r="P686" s="15"/>
      <c r="Q686" s="11"/>
      <c r="R686" s="11"/>
      <c r="S686" s="11"/>
      <c r="T686" s="11"/>
      <c r="U686" s="15"/>
      <c r="V686" s="11"/>
      <c r="W686" s="11"/>
      <c r="X686" s="11"/>
      <c r="Y686" s="11"/>
      <c r="Z686" s="11"/>
    </row>
    <row r="687">
      <c r="A687" s="18"/>
      <c r="B687" s="11"/>
      <c r="C687" s="11"/>
      <c r="D687" s="11"/>
      <c r="E687" s="11"/>
      <c r="F687" s="11"/>
      <c r="G687" s="11"/>
      <c r="H687" s="11"/>
      <c r="I687" s="11"/>
      <c r="J687" s="11"/>
      <c r="K687" s="11"/>
      <c r="L687" s="15"/>
      <c r="M687" s="15"/>
      <c r="N687" s="15"/>
      <c r="O687" s="15"/>
      <c r="P687" s="15"/>
      <c r="Q687" s="11"/>
      <c r="R687" s="11"/>
      <c r="S687" s="11"/>
      <c r="T687" s="11"/>
      <c r="U687" s="15"/>
      <c r="V687" s="11"/>
      <c r="W687" s="11"/>
      <c r="X687" s="11"/>
      <c r="Y687" s="11"/>
      <c r="Z687" s="11"/>
    </row>
    <row r="688">
      <c r="A688" s="18"/>
      <c r="B688" s="11"/>
      <c r="C688" s="11"/>
      <c r="D688" s="11"/>
      <c r="E688" s="11"/>
      <c r="F688" s="11"/>
      <c r="G688" s="11"/>
      <c r="H688" s="11"/>
      <c r="I688" s="11"/>
      <c r="J688" s="11"/>
      <c r="K688" s="11"/>
      <c r="L688" s="15"/>
      <c r="M688" s="15"/>
      <c r="N688" s="15"/>
      <c r="O688" s="15"/>
      <c r="P688" s="15"/>
      <c r="Q688" s="11"/>
      <c r="R688" s="11"/>
      <c r="S688" s="11"/>
      <c r="T688" s="11"/>
      <c r="U688" s="15"/>
      <c r="V688" s="11"/>
      <c r="W688" s="11"/>
      <c r="X688" s="11"/>
      <c r="Y688" s="11"/>
      <c r="Z688" s="11"/>
    </row>
    <row r="689">
      <c r="A689" s="18"/>
      <c r="B689" s="11"/>
      <c r="C689" s="11"/>
      <c r="D689" s="11"/>
      <c r="E689" s="11"/>
      <c r="F689" s="11"/>
      <c r="G689" s="11"/>
      <c r="H689" s="11"/>
      <c r="I689" s="11"/>
      <c r="J689" s="11"/>
      <c r="K689" s="11"/>
      <c r="L689" s="15"/>
      <c r="M689" s="15"/>
      <c r="N689" s="15"/>
      <c r="O689" s="15"/>
      <c r="P689" s="15"/>
      <c r="Q689" s="11"/>
      <c r="R689" s="11"/>
      <c r="S689" s="11"/>
      <c r="T689" s="11"/>
      <c r="U689" s="15"/>
      <c r="V689" s="11"/>
      <c r="W689" s="11"/>
      <c r="X689" s="11"/>
      <c r="Y689" s="11"/>
      <c r="Z689" s="11"/>
    </row>
    <row r="690">
      <c r="A690" s="18"/>
      <c r="B690" s="11"/>
      <c r="C690" s="11"/>
      <c r="D690" s="11"/>
      <c r="E690" s="11"/>
      <c r="F690" s="11"/>
      <c r="G690" s="11"/>
      <c r="H690" s="11"/>
      <c r="I690" s="11"/>
      <c r="J690" s="11"/>
      <c r="K690" s="11"/>
      <c r="L690" s="15"/>
      <c r="M690" s="15"/>
      <c r="N690" s="15"/>
      <c r="O690" s="15"/>
      <c r="P690" s="15"/>
      <c r="Q690" s="11"/>
      <c r="R690" s="11"/>
      <c r="S690" s="11"/>
      <c r="T690" s="11"/>
      <c r="U690" s="15"/>
      <c r="V690" s="11"/>
      <c r="W690" s="11"/>
      <c r="X690" s="11"/>
      <c r="Y690" s="11"/>
      <c r="Z690" s="11"/>
    </row>
    <row r="691">
      <c r="A691" s="18"/>
      <c r="B691" s="11"/>
      <c r="C691" s="11"/>
      <c r="D691" s="11"/>
      <c r="E691" s="11"/>
      <c r="F691" s="11"/>
      <c r="G691" s="11"/>
      <c r="H691" s="11"/>
      <c r="I691" s="11"/>
      <c r="J691" s="11"/>
      <c r="K691" s="11"/>
      <c r="L691" s="15"/>
      <c r="M691" s="15"/>
      <c r="N691" s="15"/>
      <c r="O691" s="15"/>
      <c r="P691" s="15"/>
      <c r="Q691" s="11"/>
      <c r="R691" s="11"/>
      <c r="S691" s="11"/>
      <c r="T691" s="11"/>
      <c r="U691" s="15"/>
      <c r="V691" s="11"/>
      <c r="W691" s="11"/>
      <c r="X691" s="11"/>
      <c r="Y691" s="11"/>
      <c r="Z691" s="11"/>
    </row>
    <row r="692">
      <c r="A692" s="18"/>
      <c r="B692" s="11"/>
      <c r="C692" s="11"/>
      <c r="D692" s="11"/>
      <c r="E692" s="11"/>
      <c r="F692" s="11"/>
      <c r="G692" s="11"/>
      <c r="H692" s="11"/>
      <c r="I692" s="11"/>
      <c r="J692" s="11"/>
      <c r="K692" s="11"/>
      <c r="L692" s="15"/>
      <c r="M692" s="15"/>
      <c r="N692" s="15"/>
      <c r="O692" s="15"/>
      <c r="P692" s="15"/>
      <c r="Q692" s="11"/>
      <c r="R692" s="11"/>
      <c r="S692" s="11"/>
      <c r="T692" s="11"/>
      <c r="U692" s="15"/>
      <c r="V692" s="11"/>
      <c r="W692" s="11"/>
      <c r="X692" s="11"/>
      <c r="Y692" s="11"/>
      <c r="Z692" s="11"/>
    </row>
    <row r="693">
      <c r="A693" s="18"/>
      <c r="B693" s="11"/>
      <c r="C693" s="11"/>
      <c r="D693" s="11"/>
      <c r="E693" s="11"/>
      <c r="F693" s="11"/>
      <c r="G693" s="11"/>
      <c r="H693" s="11"/>
      <c r="I693" s="11"/>
      <c r="J693" s="11"/>
      <c r="K693" s="11"/>
      <c r="L693" s="15"/>
      <c r="M693" s="15"/>
      <c r="N693" s="15"/>
      <c r="O693" s="15"/>
      <c r="P693" s="15"/>
      <c r="Q693" s="11"/>
      <c r="R693" s="11"/>
      <c r="S693" s="11"/>
      <c r="T693" s="11"/>
      <c r="U693" s="15"/>
      <c r="V693" s="11"/>
      <c r="W693" s="11"/>
      <c r="X693" s="11"/>
      <c r="Y693" s="11"/>
      <c r="Z693" s="11"/>
    </row>
    <row r="694">
      <c r="A694" s="18"/>
      <c r="B694" s="11"/>
      <c r="C694" s="11"/>
      <c r="D694" s="11"/>
      <c r="E694" s="11"/>
      <c r="F694" s="11"/>
      <c r="G694" s="11"/>
      <c r="H694" s="11"/>
      <c r="I694" s="11"/>
      <c r="J694" s="11"/>
      <c r="K694" s="11"/>
      <c r="L694" s="15"/>
      <c r="M694" s="15"/>
      <c r="N694" s="15"/>
      <c r="O694" s="15"/>
      <c r="P694" s="15"/>
      <c r="Q694" s="11"/>
      <c r="R694" s="11"/>
      <c r="S694" s="11"/>
      <c r="T694" s="11"/>
      <c r="U694" s="15"/>
      <c r="V694" s="11"/>
      <c r="W694" s="11"/>
      <c r="X694" s="11"/>
      <c r="Y694" s="11"/>
      <c r="Z694" s="11"/>
    </row>
    <row r="695">
      <c r="A695" s="18"/>
      <c r="B695" s="11"/>
      <c r="C695" s="11"/>
      <c r="D695" s="11"/>
      <c r="E695" s="11"/>
      <c r="F695" s="11"/>
      <c r="G695" s="11"/>
      <c r="H695" s="11"/>
      <c r="I695" s="11"/>
      <c r="J695" s="11"/>
      <c r="K695" s="11"/>
      <c r="L695" s="15"/>
      <c r="M695" s="15"/>
      <c r="N695" s="15"/>
      <c r="O695" s="15"/>
      <c r="P695" s="15"/>
      <c r="Q695" s="11"/>
      <c r="R695" s="11"/>
      <c r="S695" s="11"/>
      <c r="T695" s="11"/>
      <c r="U695" s="15"/>
      <c r="V695" s="11"/>
      <c r="W695" s="11"/>
      <c r="X695" s="11"/>
      <c r="Y695" s="11"/>
      <c r="Z695" s="11"/>
    </row>
    <row r="696">
      <c r="A696" s="18"/>
      <c r="B696" s="11"/>
      <c r="C696" s="11"/>
      <c r="D696" s="11"/>
      <c r="E696" s="11"/>
      <c r="F696" s="11"/>
      <c r="G696" s="11"/>
      <c r="H696" s="11"/>
      <c r="I696" s="11"/>
      <c r="J696" s="11"/>
      <c r="K696" s="11"/>
      <c r="L696" s="15"/>
      <c r="M696" s="15"/>
      <c r="N696" s="15"/>
      <c r="O696" s="15"/>
      <c r="P696" s="15"/>
      <c r="Q696" s="11"/>
      <c r="R696" s="11"/>
      <c r="S696" s="11"/>
      <c r="T696" s="11"/>
      <c r="U696" s="15"/>
      <c r="V696" s="11"/>
      <c r="W696" s="11"/>
      <c r="X696" s="11"/>
      <c r="Y696" s="11"/>
      <c r="Z696" s="11"/>
    </row>
    <row r="697">
      <c r="A697" s="18"/>
      <c r="B697" s="11"/>
      <c r="C697" s="11"/>
      <c r="D697" s="11"/>
      <c r="E697" s="11"/>
      <c r="F697" s="11"/>
      <c r="G697" s="11"/>
      <c r="H697" s="11"/>
      <c r="I697" s="11"/>
      <c r="J697" s="11"/>
      <c r="K697" s="11"/>
      <c r="L697" s="15"/>
      <c r="M697" s="15"/>
      <c r="N697" s="15"/>
      <c r="O697" s="15"/>
      <c r="P697" s="15"/>
      <c r="Q697" s="11"/>
      <c r="R697" s="11"/>
      <c r="S697" s="11"/>
      <c r="T697" s="11"/>
      <c r="U697" s="15"/>
      <c r="V697" s="11"/>
      <c r="W697" s="11"/>
      <c r="X697" s="11"/>
      <c r="Y697" s="11"/>
      <c r="Z697" s="11"/>
    </row>
    <row r="698">
      <c r="A698" s="18"/>
      <c r="B698" s="11"/>
      <c r="C698" s="11"/>
      <c r="D698" s="11"/>
      <c r="E698" s="11"/>
      <c r="F698" s="11"/>
      <c r="G698" s="11"/>
      <c r="H698" s="11"/>
      <c r="I698" s="11"/>
      <c r="J698" s="11"/>
      <c r="K698" s="11"/>
      <c r="L698" s="15"/>
      <c r="M698" s="15"/>
      <c r="N698" s="15"/>
      <c r="O698" s="15"/>
      <c r="P698" s="15"/>
      <c r="Q698" s="11"/>
      <c r="R698" s="11"/>
      <c r="S698" s="11"/>
      <c r="T698" s="11"/>
      <c r="U698" s="15"/>
      <c r="V698" s="11"/>
      <c r="W698" s="11"/>
      <c r="X698" s="11"/>
      <c r="Y698" s="11"/>
      <c r="Z698" s="11"/>
    </row>
    <row r="699">
      <c r="A699" s="18"/>
      <c r="B699" s="11"/>
      <c r="C699" s="11"/>
      <c r="D699" s="11"/>
      <c r="E699" s="11"/>
      <c r="F699" s="11"/>
      <c r="G699" s="11"/>
      <c r="H699" s="11"/>
      <c r="I699" s="11"/>
      <c r="J699" s="11"/>
      <c r="K699" s="11"/>
      <c r="L699" s="15"/>
      <c r="M699" s="15"/>
      <c r="N699" s="15"/>
      <c r="O699" s="15"/>
      <c r="P699" s="15"/>
      <c r="Q699" s="11"/>
      <c r="R699" s="11"/>
      <c r="S699" s="11"/>
      <c r="T699" s="11"/>
      <c r="U699" s="15"/>
      <c r="V699" s="11"/>
      <c r="W699" s="11"/>
      <c r="X699" s="11"/>
      <c r="Y699" s="11"/>
      <c r="Z699" s="11"/>
    </row>
    <row r="700">
      <c r="A700" s="18"/>
      <c r="B700" s="11"/>
      <c r="C700" s="11"/>
      <c r="D700" s="11"/>
      <c r="E700" s="11"/>
      <c r="F700" s="11"/>
      <c r="G700" s="11"/>
      <c r="H700" s="11"/>
      <c r="I700" s="11"/>
      <c r="J700" s="11"/>
      <c r="K700" s="11"/>
      <c r="L700" s="15"/>
      <c r="M700" s="15"/>
      <c r="N700" s="15"/>
      <c r="O700" s="15"/>
      <c r="P700" s="15"/>
      <c r="Q700" s="11"/>
      <c r="R700" s="11"/>
      <c r="S700" s="11"/>
      <c r="T700" s="11"/>
      <c r="U700" s="15"/>
      <c r="V700" s="11"/>
      <c r="W700" s="11"/>
      <c r="X700" s="11"/>
      <c r="Y700" s="11"/>
      <c r="Z700" s="11"/>
    </row>
    <row r="701">
      <c r="A701" s="18"/>
      <c r="B701" s="11"/>
      <c r="C701" s="11"/>
      <c r="D701" s="11"/>
      <c r="E701" s="11"/>
      <c r="F701" s="11"/>
      <c r="G701" s="11"/>
      <c r="H701" s="11"/>
      <c r="I701" s="11"/>
      <c r="J701" s="11"/>
      <c r="K701" s="11"/>
      <c r="L701" s="15"/>
      <c r="M701" s="15"/>
      <c r="N701" s="15"/>
      <c r="O701" s="15"/>
      <c r="P701" s="15"/>
      <c r="Q701" s="11"/>
      <c r="R701" s="11"/>
      <c r="S701" s="11"/>
      <c r="T701" s="11"/>
      <c r="U701" s="15"/>
      <c r="V701" s="11"/>
      <c r="W701" s="11"/>
      <c r="X701" s="11"/>
      <c r="Y701" s="11"/>
      <c r="Z701" s="11"/>
    </row>
    <row r="702">
      <c r="A702" s="18"/>
      <c r="B702" s="11"/>
      <c r="C702" s="11"/>
      <c r="D702" s="11"/>
      <c r="E702" s="11"/>
      <c r="F702" s="11"/>
      <c r="G702" s="11"/>
      <c r="H702" s="11"/>
      <c r="I702" s="11"/>
      <c r="J702" s="11"/>
      <c r="K702" s="11"/>
      <c r="L702" s="15"/>
      <c r="M702" s="15"/>
      <c r="N702" s="15"/>
      <c r="O702" s="15"/>
      <c r="P702" s="15"/>
      <c r="Q702" s="11"/>
      <c r="R702" s="11"/>
      <c r="S702" s="11"/>
      <c r="T702" s="11"/>
      <c r="U702" s="15"/>
      <c r="V702" s="11"/>
      <c r="W702" s="11"/>
      <c r="X702" s="11"/>
      <c r="Y702" s="11"/>
      <c r="Z702" s="11"/>
    </row>
    <row r="703">
      <c r="A703" s="18"/>
      <c r="B703" s="11"/>
      <c r="C703" s="11"/>
      <c r="D703" s="11"/>
      <c r="E703" s="11"/>
      <c r="F703" s="11"/>
      <c r="G703" s="11"/>
      <c r="H703" s="11"/>
      <c r="I703" s="11"/>
      <c r="J703" s="11"/>
      <c r="K703" s="11"/>
      <c r="L703" s="15"/>
      <c r="M703" s="15"/>
      <c r="N703" s="15"/>
      <c r="O703" s="15"/>
      <c r="P703" s="15"/>
      <c r="Q703" s="11"/>
      <c r="R703" s="11"/>
      <c r="S703" s="11"/>
      <c r="T703" s="11"/>
      <c r="U703" s="15"/>
      <c r="V703" s="11"/>
      <c r="W703" s="11"/>
      <c r="X703" s="11"/>
      <c r="Y703" s="11"/>
      <c r="Z703" s="11"/>
    </row>
    <row r="704">
      <c r="A704" s="18"/>
      <c r="B704" s="11"/>
      <c r="C704" s="11"/>
      <c r="D704" s="11"/>
      <c r="E704" s="11"/>
      <c r="F704" s="11"/>
      <c r="G704" s="11"/>
      <c r="H704" s="11"/>
      <c r="I704" s="11"/>
      <c r="J704" s="11"/>
      <c r="K704" s="11"/>
      <c r="L704" s="15"/>
      <c r="M704" s="15"/>
      <c r="N704" s="15"/>
      <c r="O704" s="15"/>
      <c r="P704" s="15"/>
      <c r="Q704" s="11"/>
      <c r="R704" s="11"/>
      <c r="S704" s="11"/>
      <c r="T704" s="11"/>
      <c r="U704" s="15"/>
      <c r="V704" s="11"/>
      <c r="W704" s="11"/>
      <c r="X704" s="11"/>
      <c r="Y704" s="11"/>
      <c r="Z704" s="11"/>
    </row>
    <row r="705">
      <c r="A705" s="18"/>
      <c r="B705" s="11"/>
      <c r="C705" s="11"/>
      <c r="D705" s="11"/>
      <c r="E705" s="11"/>
      <c r="F705" s="11"/>
      <c r="G705" s="11"/>
      <c r="H705" s="11"/>
      <c r="I705" s="11"/>
      <c r="J705" s="11"/>
      <c r="K705" s="11"/>
      <c r="L705" s="15"/>
      <c r="M705" s="15"/>
      <c r="N705" s="15"/>
      <c r="O705" s="15"/>
      <c r="P705" s="15"/>
      <c r="Q705" s="11"/>
      <c r="R705" s="11"/>
      <c r="S705" s="11"/>
      <c r="T705" s="11"/>
      <c r="U705" s="15"/>
      <c r="V705" s="11"/>
      <c r="W705" s="11"/>
      <c r="X705" s="11"/>
      <c r="Y705" s="11"/>
      <c r="Z705" s="11"/>
    </row>
    <row r="706">
      <c r="A706" s="18"/>
      <c r="B706" s="11"/>
      <c r="C706" s="11"/>
      <c r="D706" s="11"/>
      <c r="E706" s="11"/>
      <c r="F706" s="11"/>
      <c r="G706" s="11"/>
      <c r="H706" s="11"/>
      <c r="I706" s="11"/>
      <c r="J706" s="11"/>
      <c r="K706" s="11"/>
      <c r="L706" s="15"/>
      <c r="M706" s="15"/>
      <c r="N706" s="15"/>
      <c r="O706" s="15"/>
      <c r="P706" s="15"/>
      <c r="Q706" s="11"/>
      <c r="R706" s="11"/>
      <c r="S706" s="11"/>
      <c r="T706" s="11"/>
      <c r="U706" s="15"/>
      <c r="V706" s="11"/>
      <c r="W706" s="11"/>
      <c r="X706" s="11"/>
      <c r="Y706" s="11"/>
      <c r="Z706" s="11"/>
    </row>
    <row r="707">
      <c r="A707" s="18"/>
      <c r="B707" s="11"/>
      <c r="C707" s="11"/>
      <c r="D707" s="11"/>
      <c r="E707" s="11"/>
      <c r="F707" s="11"/>
      <c r="G707" s="11"/>
      <c r="H707" s="11"/>
      <c r="I707" s="11"/>
      <c r="J707" s="11"/>
      <c r="K707" s="11"/>
      <c r="L707" s="15"/>
      <c r="M707" s="15"/>
      <c r="N707" s="15"/>
      <c r="O707" s="15"/>
      <c r="P707" s="15"/>
      <c r="Q707" s="11"/>
      <c r="R707" s="11"/>
      <c r="S707" s="11"/>
      <c r="T707" s="11"/>
      <c r="U707" s="15"/>
      <c r="V707" s="11"/>
      <c r="W707" s="11"/>
      <c r="X707" s="11"/>
      <c r="Y707" s="11"/>
      <c r="Z707" s="11"/>
    </row>
    <row r="708">
      <c r="A708" s="18"/>
      <c r="B708" s="11"/>
      <c r="C708" s="11"/>
      <c r="D708" s="11"/>
      <c r="E708" s="11"/>
      <c r="F708" s="11"/>
      <c r="G708" s="11"/>
      <c r="H708" s="11"/>
      <c r="I708" s="11"/>
      <c r="J708" s="11"/>
      <c r="K708" s="11"/>
      <c r="L708" s="15"/>
      <c r="M708" s="15"/>
      <c r="N708" s="15"/>
      <c r="O708" s="15"/>
      <c r="P708" s="15"/>
      <c r="Q708" s="11"/>
      <c r="R708" s="11"/>
      <c r="S708" s="11"/>
      <c r="T708" s="11"/>
      <c r="U708" s="15"/>
      <c r="V708" s="11"/>
      <c r="W708" s="11"/>
      <c r="X708" s="11"/>
      <c r="Y708" s="11"/>
      <c r="Z708" s="11"/>
    </row>
    <row r="709">
      <c r="A709" s="18"/>
      <c r="B709" s="11"/>
      <c r="C709" s="11"/>
      <c r="D709" s="11"/>
      <c r="E709" s="11"/>
      <c r="F709" s="11"/>
      <c r="G709" s="11"/>
      <c r="H709" s="11"/>
      <c r="I709" s="11"/>
      <c r="J709" s="11"/>
      <c r="K709" s="11"/>
      <c r="L709" s="15"/>
      <c r="M709" s="15"/>
      <c r="N709" s="15"/>
      <c r="O709" s="15"/>
      <c r="P709" s="15"/>
      <c r="Q709" s="11"/>
      <c r="R709" s="11"/>
      <c r="S709" s="11"/>
      <c r="T709" s="11"/>
      <c r="U709" s="15"/>
      <c r="V709" s="11"/>
      <c r="W709" s="11"/>
      <c r="X709" s="11"/>
      <c r="Y709" s="11"/>
      <c r="Z709" s="11"/>
    </row>
    <row r="710">
      <c r="A710" s="18"/>
      <c r="B710" s="11"/>
      <c r="C710" s="11"/>
      <c r="D710" s="11"/>
      <c r="E710" s="11"/>
      <c r="F710" s="11"/>
      <c r="G710" s="11"/>
      <c r="H710" s="11"/>
      <c r="I710" s="11"/>
      <c r="J710" s="11"/>
      <c r="K710" s="11"/>
      <c r="L710" s="15"/>
      <c r="M710" s="15"/>
      <c r="N710" s="15"/>
      <c r="O710" s="15"/>
      <c r="P710" s="15"/>
      <c r="Q710" s="11"/>
      <c r="R710" s="11"/>
      <c r="S710" s="11"/>
      <c r="T710" s="11"/>
      <c r="U710" s="15"/>
      <c r="V710" s="11"/>
      <c r="W710" s="11"/>
      <c r="X710" s="11"/>
      <c r="Y710" s="11"/>
      <c r="Z710" s="11"/>
    </row>
    <row r="711">
      <c r="A711" s="18"/>
      <c r="B711" s="11"/>
      <c r="C711" s="11"/>
      <c r="D711" s="11"/>
      <c r="E711" s="11"/>
      <c r="F711" s="11"/>
      <c r="G711" s="11"/>
      <c r="H711" s="11"/>
      <c r="I711" s="11"/>
      <c r="J711" s="11"/>
      <c r="K711" s="11"/>
      <c r="L711" s="15"/>
      <c r="M711" s="15"/>
      <c r="N711" s="15"/>
      <c r="O711" s="15"/>
      <c r="P711" s="15"/>
      <c r="Q711" s="11"/>
      <c r="R711" s="11"/>
      <c r="S711" s="11"/>
      <c r="T711" s="11"/>
      <c r="U711" s="15"/>
      <c r="V711" s="11"/>
      <c r="W711" s="11"/>
      <c r="X711" s="11"/>
      <c r="Y711" s="11"/>
      <c r="Z711" s="11"/>
    </row>
    <row r="712">
      <c r="A712" s="18"/>
      <c r="B712" s="11"/>
      <c r="C712" s="11"/>
      <c r="D712" s="11"/>
      <c r="E712" s="11"/>
      <c r="F712" s="11"/>
      <c r="G712" s="11"/>
      <c r="H712" s="11"/>
      <c r="I712" s="11"/>
      <c r="J712" s="11"/>
      <c r="K712" s="11"/>
      <c r="L712" s="15"/>
      <c r="M712" s="15"/>
      <c r="N712" s="15"/>
      <c r="O712" s="15"/>
      <c r="P712" s="15"/>
      <c r="Q712" s="11"/>
      <c r="R712" s="11"/>
      <c r="S712" s="11"/>
      <c r="T712" s="11"/>
      <c r="U712" s="15"/>
      <c r="V712" s="11"/>
      <c r="W712" s="11"/>
      <c r="X712" s="11"/>
      <c r="Y712" s="11"/>
      <c r="Z712" s="11"/>
    </row>
    <row r="713">
      <c r="A713" s="18"/>
      <c r="B713" s="11"/>
      <c r="C713" s="11"/>
      <c r="D713" s="11"/>
      <c r="E713" s="11"/>
      <c r="F713" s="11"/>
      <c r="G713" s="11"/>
      <c r="H713" s="11"/>
      <c r="I713" s="11"/>
      <c r="J713" s="11"/>
      <c r="K713" s="11"/>
      <c r="L713" s="15"/>
      <c r="M713" s="15"/>
      <c r="N713" s="15"/>
      <c r="O713" s="15"/>
      <c r="P713" s="15"/>
      <c r="Q713" s="11"/>
      <c r="R713" s="11"/>
      <c r="S713" s="11"/>
      <c r="T713" s="11"/>
      <c r="U713" s="15"/>
      <c r="V713" s="11"/>
      <c r="W713" s="11"/>
      <c r="X713" s="11"/>
      <c r="Y713" s="11"/>
      <c r="Z713" s="11"/>
    </row>
    <row r="714">
      <c r="A714" s="18"/>
      <c r="B714" s="11"/>
      <c r="C714" s="11"/>
      <c r="D714" s="11"/>
      <c r="E714" s="11"/>
      <c r="F714" s="11"/>
      <c r="G714" s="11"/>
      <c r="H714" s="11"/>
      <c r="I714" s="11"/>
      <c r="J714" s="11"/>
      <c r="K714" s="11"/>
      <c r="L714" s="15"/>
      <c r="M714" s="15"/>
      <c r="N714" s="15"/>
      <c r="O714" s="15"/>
      <c r="P714" s="15"/>
      <c r="Q714" s="11"/>
      <c r="R714" s="11"/>
      <c r="S714" s="11"/>
      <c r="T714" s="11"/>
      <c r="U714" s="15"/>
      <c r="V714" s="11"/>
      <c r="W714" s="11"/>
      <c r="X714" s="11"/>
      <c r="Y714" s="11"/>
      <c r="Z714" s="11"/>
    </row>
    <row r="715">
      <c r="A715" s="18"/>
      <c r="B715" s="11"/>
      <c r="C715" s="11"/>
      <c r="D715" s="11"/>
      <c r="E715" s="11"/>
      <c r="F715" s="11"/>
      <c r="G715" s="11"/>
      <c r="H715" s="11"/>
      <c r="I715" s="11"/>
      <c r="J715" s="11"/>
      <c r="K715" s="11"/>
      <c r="L715" s="15"/>
      <c r="M715" s="15"/>
      <c r="N715" s="15"/>
      <c r="O715" s="15"/>
      <c r="P715" s="15"/>
      <c r="Q715" s="11"/>
      <c r="R715" s="11"/>
      <c r="S715" s="11"/>
      <c r="T715" s="11"/>
      <c r="U715" s="15"/>
      <c r="V715" s="11"/>
      <c r="W715" s="11"/>
      <c r="X715" s="11"/>
      <c r="Y715" s="11"/>
      <c r="Z715" s="11"/>
    </row>
    <row r="716">
      <c r="A716" s="18"/>
      <c r="B716" s="11"/>
      <c r="C716" s="11"/>
      <c r="D716" s="11"/>
      <c r="E716" s="11"/>
      <c r="F716" s="11"/>
      <c r="G716" s="11"/>
      <c r="H716" s="11"/>
      <c r="I716" s="11"/>
      <c r="J716" s="11"/>
      <c r="K716" s="11"/>
      <c r="L716" s="15"/>
      <c r="M716" s="15"/>
      <c r="N716" s="15"/>
      <c r="O716" s="15"/>
      <c r="P716" s="15"/>
      <c r="Q716" s="11"/>
      <c r="R716" s="11"/>
      <c r="S716" s="11"/>
      <c r="T716" s="11"/>
      <c r="U716" s="15"/>
      <c r="V716" s="11"/>
      <c r="W716" s="11"/>
      <c r="X716" s="11"/>
      <c r="Y716" s="11"/>
      <c r="Z716" s="11"/>
    </row>
    <row r="717">
      <c r="A717" s="18"/>
      <c r="B717" s="11"/>
      <c r="C717" s="11"/>
      <c r="D717" s="11"/>
      <c r="E717" s="11"/>
      <c r="F717" s="11"/>
      <c r="G717" s="11"/>
      <c r="H717" s="11"/>
      <c r="I717" s="11"/>
      <c r="J717" s="11"/>
      <c r="K717" s="11"/>
      <c r="L717" s="15"/>
      <c r="M717" s="15"/>
      <c r="N717" s="15"/>
      <c r="O717" s="15"/>
      <c r="P717" s="15"/>
      <c r="Q717" s="11"/>
      <c r="R717" s="11"/>
      <c r="S717" s="11"/>
      <c r="T717" s="11"/>
      <c r="U717" s="15"/>
      <c r="V717" s="11"/>
      <c r="W717" s="11"/>
      <c r="X717" s="11"/>
      <c r="Y717" s="11"/>
      <c r="Z717" s="11"/>
    </row>
    <row r="718">
      <c r="A718" s="18"/>
      <c r="B718" s="11"/>
      <c r="C718" s="11"/>
      <c r="D718" s="11"/>
      <c r="E718" s="11"/>
      <c r="F718" s="11"/>
      <c r="G718" s="11"/>
      <c r="H718" s="11"/>
      <c r="I718" s="11"/>
      <c r="J718" s="11"/>
      <c r="K718" s="11"/>
      <c r="L718" s="15"/>
      <c r="M718" s="15"/>
      <c r="N718" s="15"/>
      <c r="O718" s="15"/>
      <c r="P718" s="15"/>
      <c r="Q718" s="11"/>
      <c r="R718" s="11"/>
      <c r="S718" s="11"/>
      <c r="T718" s="11"/>
      <c r="U718" s="15"/>
      <c r="V718" s="11"/>
      <c r="W718" s="11"/>
      <c r="X718" s="11"/>
      <c r="Y718" s="11"/>
      <c r="Z718" s="11"/>
    </row>
    <row r="719">
      <c r="A719" s="18"/>
      <c r="B719" s="11"/>
      <c r="C719" s="11"/>
      <c r="D719" s="11"/>
      <c r="E719" s="11"/>
      <c r="F719" s="11"/>
      <c r="G719" s="11"/>
      <c r="H719" s="11"/>
      <c r="I719" s="11"/>
      <c r="J719" s="11"/>
      <c r="K719" s="11"/>
      <c r="L719" s="15"/>
      <c r="M719" s="15"/>
      <c r="N719" s="15"/>
      <c r="O719" s="15"/>
      <c r="P719" s="15"/>
      <c r="Q719" s="11"/>
      <c r="R719" s="11"/>
      <c r="S719" s="11"/>
      <c r="T719" s="11"/>
      <c r="U719" s="15"/>
      <c r="V719" s="11"/>
      <c r="W719" s="11"/>
      <c r="X719" s="11"/>
      <c r="Y719" s="11"/>
      <c r="Z719" s="11"/>
    </row>
    <row r="720">
      <c r="A720" s="18"/>
      <c r="B720" s="11"/>
      <c r="C720" s="11"/>
      <c r="D720" s="11"/>
      <c r="E720" s="11"/>
      <c r="F720" s="11"/>
      <c r="G720" s="11"/>
      <c r="H720" s="11"/>
      <c r="I720" s="11"/>
      <c r="J720" s="11"/>
      <c r="K720" s="11"/>
      <c r="L720" s="15"/>
      <c r="M720" s="15"/>
      <c r="N720" s="15"/>
      <c r="O720" s="15"/>
      <c r="P720" s="15"/>
      <c r="Q720" s="11"/>
      <c r="R720" s="11"/>
      <c r="S720" s="11"/>
      <c r="T720" s="11"/>
      <c r="U720" s="15"/>
      <c r="V720" s="11"/>
      <c r="W720" s="11"/>
      <c r="X720" s="11"/>
      <c r="Y720" s="11"/>
      <c r="Z720" s="11"/>
    </row>
    <row r="721">
      <c r="A721" s="18"/>
      <c r="B721" s="11"/>
      <c r="C721" s="11"/>
      <c r="D721" s="11"/>
      <c r="E721" s="11"/>
      <c r="F721" s="11"/>
      <c r="G721" s="11"/>
      <c r="H721" s="11"/>
      <c r="I721" s="11"/>
      <c r="J721" s="11"/>
      <c r="K721" s="11"/>
      <c r="L721" s="15"/>
      <c r="M721" s="15"/>
      <c r="N721" s="15"/>
      <c r="O721" s="15"/>
      <c r="P721" s="15"/>
      <c r="Q721" s="11"/>
      <c r="R721" s="11"/>
      <c r="S721" s="11"/>
      <c r="T721" s="11"/>
      <c r="U721" s="15"/>
      <c r="V721" s="11"/>
      <c r="W721" s="11"/>
      <c r="X721" s="11"/>
      <c r="Y721" s="11"/>
      <c r="Z721" s="11"/>
    </row>
    <row r="722">
      <c r="A722" s="18"/>
      <c r="B722" s="11"/>
      <c r="C722" s="11"/>
      <c r="D722" s="11"/>
      <c r="E722" s="11"/>
      <c r="F722" s="11"/>
      <c r="G722" s="11"/>
      <c r="H722" s="11"/>
      <c r="I722" s="11"/>
      <c r="J722" s="11"/>
      <c r="K722" s="11"/>
      <c r="L722" s="15"/>
      <c r="M722" s="15"/>
      <c r="N722" s="15"/>
      <c r="O722" s="15"/>
      <c r="P722" s="15"/>
      <c r="Q722" s="11"/>
      <c r="R722" s="11"/>
      <c r="S722" s="11"/>
      <c r="T722" s="11"/>
      <c r="U722" s="15"/>
      <c r="V722" s="11"/>
      <c r="W722" s="11"/>
      <c r="X722" s="11"/>
      <c r="Y722" s="11"/>
      <c r="Z722" s="11"/>
    </row>
    <row r="723">
      <c r="A723" s="18"/>
      <c r="B723" s="11"/>
      <c r="C723" s="11"/>
      <c r="D723" s="11"/>
      <c r="E723" s="11"/>
      <c r="F723" s="11"/>
      <c r="G723" s="11"/>
      <c r="H723" s="11"/>
      <c r="I723" s="11"/>
      <c r="J723" s="11"/>
      <c r="K723" s="11"/>
      <c r="L723" s="15"/>
      <c r="M723" s="15"/>
      <c r="N723" s="15"/>
      <c r="O723" s="15"/>
      <c r="P723" s="15"/>
      <c r="Q723" s="11"/>
      <c r="R723" s="11"/>
      <c r="S723" s="11"/>
      <c r="T723" s="11"/>
      <c r="U723" s="15"/>
      <c r="V723" s="11"/>
      <c r="W723" s="11"/>
      <c r="X723" s="11"/>
      <c r="Y723" s="11"/>
      <c r="Z723" s="11"/>
    </row>
    <row r="724">
      <c r="A724" s="18"/>
      <c r="B724" s="11"/>
      <c r="C724" s="11"/>
      <c r="D724" s="11"/>
      <c r="E724" s="11"/>
      <c r="F724" s="11"/>
      <c r="G724" s="11"/>
      <c r="H724" s="11"/>
      <c r="I724" s="11"/>
      <c r="J724" s="11"/>
      <c r="K724" s="11"/>
      <c r="L724" s="15"/>
      <c r="M724" s="15"/>
      <c r="N724" s="15"/>
      <c r="O724" s="15"/>
      <c r="P724" s="15"/>
      <c r="Q724" s="11"/>
      <c r="R724" s="11"/>
      <c r="S724" s="11"/>
      <c r="T724" s="11"/>
      <c r="U724" s="15"/>
      <c r="V724" s="11"/>
      <c r="W724" s="11"/>
      <c r="X724" s="11"/>
      <c r="Y724" s="11"/>
      <c r="Z724" s="11"/>
    </row>
    <row r="725">
      <c r="A725" s="18"/>
      <c r="B725" s="11"/>
      <c r="C725" s="11"/>
      <c r="D725" s="11"/>
      <c r="E725" s="11"/>
      <c r="F725" s="11"/>
      <c r="G725" s="11"/>
      <c r="H725" s="11"/>
      <c r="I725" s="11"/>
      <c r="J725" s="11"/>
      <c r="K725" s="11"/>
      <c r="L725" s="15"/>
      <c r="M725" s="15"/>
      <c r="N725" s="15"/>
      <c r="O725" s="15"/>
      <c r="P725" s="15"/>
      <c r="Q725" s="11"/>
      <c r="R725" s="11"/>
      <c r="S725" s="11"/>
      <c r="T725" s="11"/>
      <c r="U725" s="15"/>
      <c r="V725" s="11"/>
      <c r="W725" s="11"/>
      <c r="X725" s="11"/>
      <c r="Y725" s="11"/>
      <c r="Z725" s="11"/>
    </row>
    <row r="726">
      <c r="A726" s="18"/>
      <c r="B726" s="11"/>
      <c r="C726" s="11"/>
      <c r="D726" s="11"/>
      <c r="E726" s="11"/>
      <c r="F726" s="11"/>
      <c r="G726" s="11"/>
      <c r="H726" s="11"/>
      <c r="I726" s="11"/>
      <c r="J726" s="11"/>
      <c r="K726" s="11"/>
      <c r="L726" s="15"/>
      <c r="M726" s="15"/>
      <c r="N726" s="15"/>
      <c r="O726" s="15"/>
      <c r="P726" s="15"/>
      <c r="Q726" s="11"/>
      <c r="R726" s="11"/>
      <c r="S726" s="11"/>
      <c r="T726" s="11"/>
      <c r="U726" s="15"/>
      <c r="V726" s="11"/>
      <c r="W726" s="11"/>
      <c r="X726" s="11"/>
      <c r="Y726" s="11"/>
      <c r="Z726" s="11"/>
    </row>
    <row r="727">
      <c r="A727" s="18"/>
      <c r="B727" s="11"/>
      <c r="C727" s="11"/>
      <c r="D727" s="11"/>
      <c r="E727" s="11"/>
      <c r="F727" s="11"/>
      <c r="G727" s="11"/>
      <c r="H727" s="11"/>
      <c r="I727" s="11"/>
      <c r="J727" s="11"/>
      <c r="K727" s="11"/>
      <c r="L727" s="15"/>
      <c r="M727" s="15"/>
      <c r="N727" s="15"/>
      <c r="O727" s="15"/>
      <c r="P727" s="15"/>
      <c r="Q727" s="11"/>
      <c r="R727" s="11"/>
      <c r="S727" s="11"/>
      <c r="T727" s="11"/>
      <c r="U727" s="15"/>
      <c r="V727" s="11"/>
      <c r="W727" s="11"/>
      <c r="X727" s="11"/>
      <c r="Y727" s="11"/>
      <c r="Z727" s="11"/>
    </row>
    <row r="728">
      <c r="A728" s="18"/>
      <c r="B728" s="11"/>
      <c r="C728" s="11"/>
      <c r="D728" s="11"/>
      <c r="E728" s="11"/>
      <c r="F728" s="11"/>
      <c r="G728" s="11"/>
      <c r="H728" s="11"/>
      <c r="I728" s="11"/>
      <c r="J728" s="11"/>
      <c r="K728" s="11"/>
      <c r="L728" s="15"/>
      <c r="M728" s="15"/>
      <c r="N728" s="15"/>
      <c r="O728" s="15"/>
      <c r="P728" s="15"/>
      <c r="Q728" s="11"/>
      <c r="R728" s="11"/>
      <c r="S728" s="11"/>
      <c r="T728" s="11"/>
      <c r="U728" s="15"/>
      <c r="V728" s="11"/>
      <c r="W728" s="11"/>
      <c r="X728" s="11"/>
      <c r="Y728" s="11"/>
      <c r="Z728" s="11"/>
    </row>
    <row r="729">
      <c r="A729" s="18"/>
      <c r="B729" s="11"/>
      <c r="C729" s="11"/>
      <c r="D729" s="11"/>
      <c r="E729" s="11"/>
      <c r="F729" s="11"/>
      <c r="G729" s="11"/>
      <c r="H729" s="11"/>
      <c r="I729" s="11"/>
      <c r="J729" s="11"/>
      <c r="K729" s="11"/>
      <c r="L729" s="15"/>
      <c r="M729" s="15"/>
      <c r="N729" s="15"/>
      <c r="O729" s="15"/>
      <c r="P729" s="15"/>
      <c r="Q729" s="11"/>
      <c r="R729" s="11"/>
      <c r="S729" s="11"/>
      <c r="T729" s="11"/>
      <c r="U729" s="15"/>
      <c r="V729" s="11"/>
      <c r="W729" s="11"/>
      <c r="X729" s="11"/>
      <c r="Y729" s="11"/>
      <c r="Z729" s="11"/>
    </row>
    <row r="730">
      <c r="A730" s="18"/>
      <c r="B730" s="11"/>
      <c r="C730" s="11"/>
      <c r="D730" s="11"/>
      <c r="E730" s="11"/>
      <c r="F730" s="11"/>
      <c r="G730" s="11"/>
      <c r="H730" s="11"/>
      <c r="I730" s="11"/>
      <c r="J730" s="11"/>
      <c r="K730" s="11"/>
      <c r="L730" s="15"/>
      <c r="M730" s="15"/>
      <c r="N730" s="15"/>
      <c r="O730" s="15"/>
      <c r="P730" s="15"/>
      <c r="Q730" s="11"/>
      <c r="R730" s="11"/>
      <c r="S730" s="11"/>
      <c r="T730" s="11"/>
      <c r="U730" s="15"/>
      <c r="V730" s="11"/>
      <c r="W730" s="11"/>
      <c r="X730" s="11"/>
      <c r="Y730" s="11"/>
      <c r="Z730" s="11"/>
    </row>
    <row r="731">
      <c r="A731" s="18"/>
      <c r="B731" s="11"/>
      <c r="C731" s="11"/>
      <c r="D731" s="11"/>
      <c r="E731" s="11"/>
      <c r="F731" s="11"/>
      <c r="G731" s="11"/>
      <c r="H731" s="11"/>
      <c r="I731" s="11"/>
      <c r="J731" s="11"/>
      <c r="K731" s="11"/>
      <c r="L731" s="15"/>
      <c r="M731" s="15"/>
      <c r="N731" s="15"/>
      <c r="O731" s="15"/>
      <c r="P731" s="15"/>
      <c r="Q731" s="11"/>
      <c r="R731" s="11"/>
      <c r="S731" s="11"/>
      <c r="T731" s="11"/>
      <c r="U731" s="15"/>
      <c r="V731" s="11"/>
      <c r="W731" s="11"/>
      <c r="X731" s="11"/>
      <c r="Y731" s="11"/>
      <c r="Z731" s="11"/>
    </row>
    <row r="732">
      <c r="A732" s="18"/>
      <c r="B732" s="11"/>
      <c r="C732" s="11"/>
      <c r="D732" s="11"/>
      <c r="E732" s="11"/>
      <c r="F732" s="11"/>
      <c r="G732" s="11"/>
      <c r="H732" s="11"/>
      <c r="I732" s="11"/>
      <c r="J732" s="11"/>
      <c r="K732" s="11"/>
      <c r="L732" s="15"/>
      <c r="M732" s="15"/>
      <c r="N732" s="15"/>
      <c r="O732" s="15"/>
      <c r="P732" s="15"/>
      <c r="Q732" s="11"/>
      <c r="R732" s="11"/>
      <c r="S732" s="11"/>
      <c r="T732" s="11"/>
      <c r="U732" s="15"/>
      <c r="V732" s="11"/>
      <c r="W732" s="11"/>
      <c r="X732" s="11"/>
      <c r="Y732" s="11"/>
      <c r="Z732" s="11"/>
    </row>
    <row r="733">
      <c r="A733" s="18"/>
      <c r="B733" s="11"/>
      <c r="C733" s="11"/>
      <c r="D733" s="11"/>
      <c r="E733" s="11"/>
      <c r="F733" s="11"/>
      <c r="G733" s="11"/>
      <c r="H733" s="11"/>
      <c r="I733" s="11"/>
      <c r="J733" s="11"/>
      <c r="K733" s="11"/>
      <c r="L733" s="15"/>
      <c r="M733" s="15"/>
      <c r="N733" s="15"/>
      <c r="O733" s="15"/>
      <c r="P733" s="15"/>
      <c r="Q733" s="11"/>
      <c r="R733" s="11"/>
      <c r="S733" s="11"/>
      <c r="T733" s="11"/>
      <c r="U733" s="15"/>
      <c r="V733" s="11"/>
      <c r="W733" s="11"/>
      <c r="X733" s="11"/>
      <c r="Y733" s="11"/>
      <c r="Z733" s="11"/>
    </row>
    <row r="734">
      <c r="A734" s="18"/>
      <c r="B734" s="11"/>
      <c r="C734" s="11"/>
      <c r="D734" s="11"/>
      <c r="E734" s="11"/>
      <c r="F734" s="11"/>
      <c r="G734" s="11"/>
      <c r="H734" s="11"/>
      <c r="I734" s="11"/>
      <c r="J734" s="11"/>
      <c r="K734" s="11"/>
      <c r="L734" s="15"/>
      <c r="M734" s="15"/>
      <c r="N734" s="15"/>
      <c r="O734" s="15"/>
      <c r="P734" s="15"/>
      <c r="Q734" s="11"/>
      <c r="R734" s="11"/>
      <c r="S734" s="11"/>
      <c r="T734" s="11"/>
      <c r="U734" s="15"/>
      <c r="V734" s="11"/>
      <c r="W734" s="11"/>
      <c r="X734" s="11"/>
      <c r="Y734" s="11"/>
      <c r="Z734" s="11"/>
    </row>
    <row r="735">
      <c r="A735" s="18"/>
      <c r="B735" s="11"/>
      <c r="C735" s="11"/>
      <c r="D735" s="11"/>
      <c r="E735" s="11"/>
      <c r="F735" s="11"/>
      <c r="G735" s="11"/>
      <c r="H735" s="11"/>
      <c r="I735" s="11"/>
      <c r="J735" s="11"/>
      <c r="K735" s="11"/>
      <c r="L735" s="15"/>
      <c r="M735" s="15"/>
      <c r="N735" s="15"/>
      <c r="O735" s="15"/>
      <c r="P735" s="15"/>
      <c r="Q735" s="11"/>
      <c r="R735" s="11"/>
      <c r="S735" s="11"/>
      <c r="T735" s="11"/>
      <c r="U735" s="15"/>
      <c r="V735" s="11"/>
      <c r="W735" s="11"/>
      <c r="X735" s="11"/>
      <c r="Y735" s="11"/>
      <c r="Z735" s="11"/>
    </row>
    <row r="736">
      <c r="A736" s="18"/>
      <c r="B736" s="11"/>
      <c r="C736" s="11"/>
      <c r="D736" s="11"/>
      <c r="E736" s="11"/>
      <c r="F736" s="11"/>
      <c r="G736" s="11"/>
      <c r="H736" s="11"/>
      <c r="I736" s="11"/>
      <c r="J736" s="11"/>
      <c r="K736" s="11"/>
      <c r="L736" s="15"/>
      <c r="M736" s="15"/>
      <c r="N736" s="15"/>
      <c r="O736" s="15"/>
      <c r="P736" s="15"/>
      <c r="Q736" s="11"/>
      <c r="R736" s="11"/>
      <c r="S736" s="11"/>
      <c r="T736" s="11"/>
      <c r="U736" s="15"/>
      <c r="V736" s="11"/>
      <c r="W736" s="11"/>
      <c r="X736" s="11"/>
      <c r="Y736" s="11"/>
      <c r="Z736" s="11"/>
    </row>
    <row r="737">
      <c r="A737" s="18"/>
      <c r="B737" s="11"/>
      <c r="C737" s="11"/>
      <c r="D737" s="11"/>
      <c r="E737" s="11"/>
      <c r="F737" s="11"/>
      <c r="G737" s="11"/>
      <c r="H737" s="11"/>
      <c r="I737" s="11"/>
      <c r="J737" s="11"/>
      <c r="K737" s="11"/>
      <c r="L737" s="15"/>
      <c r="M737" s="15"/>
      <c r="N737" s="15"/>
      <c r="O737" s="15"/>
      <c r="P737" s="15"/>
      <c r="Q737" s="11"/>
      <c r="R737" s="11"/>
      <c r="S737" s="11"/>
      <c r="T737" s="11"/>
      <c r="U737" s="15"/>
      <c r="V737" s="11"/>
      <c r="W737" s="11"/>
      <c r="X737" s="11"/>
      <c r="Y737" s="11"/>
      <c r="Z737" s="11"/>
    </row>
    <row r="738">
      <c r="A738" s="18"/>
      <c r="B738" s="11"/>
      <c r="C738" s="11"/>
      <c r="D738" s="11"/>
      <c r="E738" s="11"/>
      <c r="F738" s="11"/>
      <c r="G738" s="11"/>
      <c r="H738" s="11"/>
      <c r="I738" s="11"/>
      <c r="J738" s="11"/>
      <c r="K738" s="11"/>
      <c r="L738" s="15"/>
      <c r="M738" s="15"/>
      <c r="N738" s="15"/>
      <c r="O738" s="15"/>
      <c r="P738" s="15"/>
      <c r="Q738" s="11"/>
      <c r="R738" s="11"/>
      <c r="S738" s="11"/>
      <c r="T738" s="11"/>
      <c r="U738" s="15"/>
      <c r="V738" s="11"/>
      <c r="W738" s="11"/>
      <c r="X738" s="11"/>
      <c r="Y738" s="11"/>
      <c r="Z738" s="11"/>
    </row>
    <row r="739">
      <c r="A739" s="18"/>
      <c r="B739" s="11"/>
      <c r="C739" s="11"/>
      <c r="D739" s="11"/>
      <c r="E739" s="11"/>
      <c r="F739" s="11"/>
      <c r="G739" s="11"/>
      <c r="H739" s="11"/>
      <c r="I739" s="11"/>
      <c r="J739" s="11"/>
      <c r="K739" s="11"/>
      <c r="L739" s="15"/>
      <c r="M739" s="15"/>
      <c r="N739" s="15"/>
      <c r="O739" s="15"/>
      <c r="P739" s="15"/>
      <c r="Q739" s="11"/>
      <c r="R739" s="11"/>
      <c r="S739" s="11"/>
      <c r="T739" s="11"/>
      <c r="U739" s="15"/>
      <c r="V739" s="11"/>
      <c r="W739" s="11"/>
      <c r="X739" s="11"/>
      <c r="Y739" s="11"/>
      <c r="Z739" s="11"/>
    </row>
    <row r="740">
      <c r="A740" s="18"/>
      <c r="B740" s="11"/>
      <c r="C740" s="11"/>
      <c r="D740" s="11"/>
      <c r="E740" s="11"/>
      <c r="F740" s="11"/>
      <c r="G740" s="11"/>
      <c r="H740" s="11"/>
      <c r="I740" s="11"/>
      <c r="J740" s="11"/>
      <c r="K740" s="11"/>
      <c r="L740" s="15"/>
      <c r="M740" s="15"/>
      <c r="N740" s="15"/>
      <c r="O740" s="15"/>
      <c r="P740" s="15"/>
      <c r="Q740" s="11"/>
      <c r="R740" s="11"/>
      <c r="S740" s="11"/>
      <c r="T740" s="11"/>
      <c r="U740" s="15"/>
      <c r="V740" s="11"/>
      <c r="W740" s="11"/>
      <c r="X740" s="11"/>
      <c r="Y740" s="11"/>
      <c r="Z740" s="11"/>
    </row>
    <row r="741">
      <c r="A741" s="18"/>
      <c r="B741" s="11"/>
      <c r="C741" s="11"/>
      <c r="D741" s="11"/>
      <c r="E741" s="11"/>
      <c r="F741" s="11"/>
      <c r="G741" s="11"/>
      <c r="H741" s="11"/>
      <c r="I741" s="11"/>
      <c r="J741" s="11"/>
      <c r="K741" s="11"/>
      <c r="L741" s="15"/>
      <c r="M741" s="15"/>
      <c r="N741" s="15"/>
      <c r="O741" s="15"/>
      <c r="P741" s="15"/>
      <c r="Q741" s="11"/>
      <c r="R741" s="11"/>
      <c r="S741" s="11"/>
      <c r="T741" s="11"/>
      <c r="U741" s="15"/>
      <c r="V741" s="11"/>
      <c r="W741" s="11"/>
      <c r="X741" s="11"/>
      <c r="Y741" s="11"/>
      <c r="Z741" s="11"/>
    </row>
    <row r="742">
      <c r="A742" s="18"/>
      <c r="B742" s="11"/>
      <c r="C742" s="11"/>
      <c r="D742" s="11"/>
      <c r="E742" s="11"/>
      <c r="F742" s="11"/>
      <c r="G742" s="11"/>
      <c r="H742" s="11"/>
      <c r="I742" s="11"/>
      <c r="J742" s="11"/>
      <c r="K742" s="11"/>
      <c r="L742" s="15"/>
      <c r="M742" s="15"/>
      <c r="N742" s="15"/>
      <c r="O742" s="15"/>
      <c r="P742" s="15"/>
      <c r="Q742" s="11"/>
      <c r="R742" s="11"/>
      <c r="S742" s="11"/>
      <c r="T742" s="11"/>
      <c r="U742" s="15"/>
      <c r="V742" s="11"/>
      <c r="W742" s="11"/>
      <c r="X742" s="11"/>
      <c r="Y742" s="11"/>
      <c r="Z742" s="11"/>
    </row>
    <row r="743">
      <c r="A743" s="18"/>
      <c r="B743" s="11"/>
      <c r="C743" s="11"/>
      <c r="D743" s="11"/>
      <c r="E743" s="11"/>
      <c r="F743" s="11"/>
      <c r="G743" s="11"/>
      <c r="H743" s="11"/>
      <c r="I743" s="11"/>
      <c r="J743" s="11"/>
      <c r="K743" s="11"/>
      <c r="L743" s="15"/>
      <c r="M743" s="15"/>
      <c r="N743" s="15"/>
      <c r="O743" s="15"/>
      <c r="P743" s="15"/>
      <c r="Q743" s="11"/>
      <c r="R743" s="11"/>
      <c r="S743" s="11"/>
      <c r="T743" s="11"/>
      <c r="U743" s="15"/>
      <c r="V743" s="11"/>
      <c r="W743" s="11"/>
      <c r="X743" s="11"/>
      <c r="Y743" s="11"/>
      <c r="Z743" s="11"/>
    </row>
    <row r="744">
      <c r="A744" s="18"/>
      <c r="B744" s="11"/>
      <c r="C744" s="11"/>
      <c r="D744" s="11"/>
      <c r="E744" s="11"/>
      <c r="F744" s="11"/>
      <c r="G744" s="11"/>
      <c r="H744" s="11"/>
      <c r="I744" s="11"/>
      <c r="J744" s="11"/>
      <c r="K744" s="11"/>
      <c r="L744" s="15"/>
      <c r="M744" s="15"/>
      <c r="N744" s="15"/>
      <c r="O744" s="15"/>
      <c r="P744" s="15"/>
      <c r="Q744" s="11"/>
      <c r="R744" s="11"/>
      <c r="S744" s="11"/>
      <c r="T744" s="11"/>
      <c r="U744" s="15"/>
      <c r="V744" s="11"/>
      <c r="W744" s="11"/>
      <c r="X744" s="11"/>
      <c r="Y744" s="11"/>
      <c r="Z744" s="11"/>
    </row>
    <row r="745">
      <c r="A745" s="18"/>
      <c r="B745" s="11"/>
      <c r="C745" s="11"/>
      <c r="D745" s="11"/>
      <c r="E745" s="11"/>
      <c r="F745" s="11"/>
      <c r="G745" s="11"/>
      <c r="H745" s="11"/>
      <c r="I745" s="11"/>
      <c r="J745" s="11"/>
      <c r="K745" s="11"/>
      <c r="L745" s="15"/>
      <c r="M745" s="15"/>
      <c r="N745" s="15"/>
      <c r="O745" s="15"/>
      <c r="P745" s="15"/>
      <c r="Q745" s="11"/>
      <c r="R745" s="11"/>
      <c r="S745" s="11"/>
      <c r="T745" s="11"/>
      <c r="U745" s="15"/>
      <c r="V745" s="11"/>
      <c r="W745" s="11"/>
      <c r="X745" s="11"/>
      <c r="Y745" s="11"/>
      <c r="Z745" s="11"/>
    </row>
    <row r="746">
      <c r="A746" s="18"/>
      <c r="B746" s="11"/>
      <c r="C746" s="11"/>
      <c r="D746" s="11"/>
      <c r="E746" s="11"/>
      <c r="F746" s="11"/>
      <c r="G746" s="11"/>
      <c r="H746" s="11"/>
      <c r="I746" s="11"/>
      <c r="J746" s="11"/>
      <c r="K746" s="11"/>
      <c r="L746" s="15"/>
      <c r="M746" s="15"/>
      <c r="N746" s="15"/>
      <c r="O746" s="15"/>
      <c r="P746" s="15"/>
      <c r="Q746" s="11"/>
      <c r="R746" s="11"/>
      <c r="S746" s="11"/>
      <c r="T746" s="11"/>
      <c r="U746" s="15"/>
      <c r="V746" s="11"/>
      <c r="W746" s="11"/>
      <c r="X746" s="11"/>
      <c r="Y746" s="11"/>
      <c r="Z746" s="11"/>
    </row>
    <row r="747">
      <c r="A747" s="18"/>
      <c r="B747" s="11"/>
      <c r="C747" s="11"/>
      <c r="D747" s="11"/>
      <c r="E747" s="11"/>
      <c r="F747" s="11"/>
      <c r="G747" s="11"/>
      <c r="H747" s="11"/>
      <c r="I747" s="11"/>
      <c r="J747" s="11"/>
      <c r="K747" s="11"/>
      <c r="L747" s="15"/>
      <c r="M747" s="15"/>
      <c r="N747" s="15"/>
      <c r="O747" s="15"/>
      <c r="P747" s="15"/>
      <c r="Q747" s="11"/>
      <c r="R747" s="11"/>
      <c r="S747" s="11"/>
      <c r="T747" s="11"/>
      <c r="U747" s="15"/>
      <c r="V747" s="11"/>
      <c r="W747" s="11"/>
      <c r="X747" s="11"/>
      <c r="Y747" s="11"/>
      <c r="Z747" s="11"/>
    </row>
    <row r="748">
      <c r="A748" s="18"/>
      <c r="B748" s="11"/>
      <c r="C748" s="11"/>
      <c r="D748" s="11"/>
      <c r="E748" s="11"/>
      <c r="F748" s="11"/>
      <c r="G748" s="11"/>
      <c r="H748" s="11"/>
      <c r="I748" s="11"/>
      <c r="J748" s="11"/>
      <c r="K748" s="11"/>
      <c r="L748" s="15"/>
      <c r="M748" s="15"/>
      <c r="N748" s="15"/>
      <c r="O748" s="15"/>
      <c r="P748" s="15"/>
      <c r="Q748" s="11"/>
      <c r="R748" s="11"/>
      <c r="S748" s="11"/>
      <c r="T748" s="11"/>
      <c r="U748" s="15"/>
      <c r="V748" s="11"/>
      <c r="W748" s="11"/>
      <c r="X748" s="11"/>
      <c r="Y748" s="11"/>
      <c r="Z748" s="11"/>
    </row>
    <row r="749">
      <c r="A749" s="18"/>
      <c r="B749" s="11"/>
      <c r="C749" s="11"/>
      <c r="D749" s="11"/>
      <c r="E749" s="11"/>
      <c r="F749" s="11"/>
      <c r="G749" s="11"/>
      <c r="H749" s="11"/>
      <c r="I749" s="11"/>
      <c r="J749" s="11"/>
      <c r="K749" s="11"/>
      <c r="L749" s="15"/>
      <c r="M749" s="15"/>
      <c r="N749" s="15"/>
      <c r="O749" s="15"/>
      <c r="P749" s="15"/>
      <c r="Q749" s="11"/>
      <c r="R749" s="11"/>
      <c r="S749" s="11"/>
      <c r="T749" s="11"/>
      <c r="U749" s="15"/>
      <c r="V749" s="11"/>
      <c r="W749" s="11"/>
      <c r="X749" s="11"/>
      <c r="Y749" s="11"/>
      <c r="Z749" s="11"/>
    </row>
    <row r="750">
      <c r="A750" s="18"/>
      <c r="B750" s="11"/>
      <c r="C750" s="11"/>
      <c r="D750" s="11"/>
      <c r="E750" s="11"/>
      <c r="F750" s="11"/>
      <c r="G750" s="11"/>
      <c r="H750" s="11"/>
      <c r="I750" s="11"/>
      <c r="J750" s="11"/>
      <c r="K750" s="11"/>
      <c r="L750" s="15"/>
      <c r="M750" s="15"/>
      <c r="N750" s="15"/>
      <c r="O750" s="15"/>
      <c r="P750" s="15"/>
      <c r="Q750" s="11"/>
      <c r="R750" s="11"/>
      <c r="S750" s="11"/>
      <c r="T750" s="11"/>
      <c r="U750" s="15"/>
      <c r="V750" s="11"/>
      <c r="W750" s="11"/>
      <c r="X750" s="11"/>
      <c r="Y750" s="11"/>
      <c r="Z750" s="11"/>
    </row>
    <row r="751">
      <c r="A751" s="18"/>
      <c r="B751" s="11"/>
      <c r="C751" s="11"/>
      <c r="D751" s="11"/>
      <c r="E751" s="11"/>
      <c r="F751" s="11"/>
      <c r="G751" s="11"/>
      <c r="H751" s="11"/>
      <c r="I751" s="11"/>
      <c r="J751" s="11"/>
      <c r="K751" s="11"/>
      <c r="L751" s="15"/>
      <c r="M751" s="15"/>
      <c r="N751" s="15"/>
      <c r="O751" s="15"/>
      <c r="P751" s="15"/>
      <c r="Q751" s="11"/>
      <c r="R751" s="11"/>
      <c r="S751" s="11"/>
      <c r="T751" s="11"/>
      <c r="U751" s="15"/>
      <c r="V751" s="11"/>
      <c r="W751" s="11"/>
      <c r="X751" s="11"/>
      <c r="Y751" s="11"/>
      <c r="Z751" s="11"/>
    </row>
    <row r="752">
      <c r="A752" s="18"/>
      <c r="B752" s="11"/>
      <c r="C752" s="11"/>
      <c r="D752" s="11"/>
      <c r="E752" s="11"/>
      <c r="F752" s="11"/>
      <c r="G752" s="11"/>
      <c r="H752" s="11"/>
      <c r="I752" s="11"/>
      <c r="J752" s="11"/>
      <c r="K752" s="11"/>
      <c r="L752" s="15"/>
      <c r="M752" s="15"/>
      <c r="N752" s="15"/>
      <c r="O752" s="15"/>
      <c r="P752" s="15"/>
      <c r="Q752" s="11"/>
      <c r="R752" s="11"/>
      <c r="S752" s="11"/>
      <c r="T752" s="11"/>
      <c r="U752" s="15"/>
      <c r="V752" s="11"/>
      <c r="W752" s="11"/>
      <c r="X752" s="11"/>
      <c r="Y752" s="11"/>
      <c r="Z752" s="11"/>
    </row>
    <row r="753">
      <c r="A753" s="18"/>
      <c r="B753" s="11"/>
      <c r="C753" s="11"/>
      <c r="D753" s="11"/>
      <c r="E753" s="11"/>
      <c r="F753" s="11"/>
      <c r="G753" s="11"/>
      <c r="H753" s="11"/>
      <c r="I753" s="11"/>
      <c r="J753" s="11"/>
      <c r="K753" s="11"/>
      <c r="L753" s="15"/>
      <c r="M753" s="15"/>
      <c r="N753" s="15"/>
      <c r="O753" s="15"/>
      <c r="P753" s="15"/>
      <c r="Q753" s="11"/>
      <c r="R753" s="11"/>
      <c r="S753" s="11"/>
      <c r="T753" s="11"/>
      <c r="U753" s="15"/>
      <c r="V753" s="11"/>
      <c r="W753" s="11"/>
      <c r="X753" s="11"/>
      <c r="Y753" s="11"/>
      <c r="Z753" s="11"/>
    </row>
    <row r="754">
      <c r="A754" s="18"/>
      <c r="B754" s="11"/>
      <c r="C754" s="11"/>
      <c r="D754" s="11"/>
      <c r="E754" s="11"/>
      <c r="F754" s="11"/>
      <c r="G754" s="11"/>
      <c r="H754" s="11"/>
      <c r="I754" s="11"/>
      <c r="J754" s="11"/>
      <c r="K754" s="11"/>
      <c r="L754" s="15"/>
      <c r="M754" s="15"/>
      <c r="N754" s="15"/>
      <c r="O754" s="15"/>
      <c r="P754" s="15"/>
      <c r="Q754" s="11"/>
      <c r="R754" s="11"/>
      <c r="S754" s="11"/>
      <c r="T754" s="11"/>
      <c r="U754" s="15"/>
      <c r="V754" s="11"/>
      <c r="W754" s="11"/>
      <c r="X754" s="11"/>
      <c r="Y754" s="11"/>
      <c r="Z754" s="11"/>
    </row>
    <row r="755">
      <c r="A755" s="18"/>
      <c r="B755" s="11"/>
      <c r="C755" s="11"/>
      <c r="D755" s="11"/>
      <c r="E755" s="11"/>
      <c r="F755" s="11"/>
      <c r="G755" s="11"/>
      <c r="H755" s="11"/>
      <c r="I755" s="11"/>
      <c r="J755" s="11"/>
      <c r="K755" s="11"/>
      <c r="L755" s="15"/>
      <c r="M755" s="15"/>
      <c r="N755" s="15"/>
      <c r="O755" s="15"/>
      <c r="P755" s="15"/>
      <c r="Q755" s="11"/>
      <c r="R755" s="11"/>
      <c r="S755" s="11"/>
      <c r="T755" s="11"/>
      <c r="U755" s="15"/>
      <c r="V755" s="11"/>
      <c r="W755" s="11"/>
      <c r="X755" s="11"/>
      <c r="Y755" s="11"/>
      <c r="Z755" s="11"/>
    </row>
    <row r="756">
      <c r="A756" s="18"/>
      <c r="B756" s="11"/>
      <c r="C756" s="11"/>
      <c r="D756" s="11"/>
      <c r="E756" s="11"/>
      <c r="F756" s="11"/>
      <c r="G756" s="11"/>
      <c r="H756" s="11"/>
      <c r="I756" s="11"/>
      <c r="J756" s="11"/>
      <c r="K756" s="11"/>
      <c r="L756" s="15"/>
      <c r="M756" s="15"/>
      <c r="N756" s="15"/>
      <c r="O756" s="15"/>
      <c r="P756" s="15"/>
      <c r="Q756" s="11"/>
      <c r="R756" s="11"/>
      <c r="S756" s="11"/>
      <c r="T756" s="11"/>
      <c r="U756" s="15"/>
      <c r="V756" s="11"/>
      <c r="W756" s="11"/>
      <c r="X756" s="11"/>
      <c r="Y756" s="11"/>
      <c r="Z756" s="11"/>
    </row>
    <row r="757">
      <c r="A757" s="18"/>
      <c r="B757" s="11"/>
      <c r="C757" s="11"/>
      <c r="D757" s="11"/>
      <c r="E757" s="11"/>
      <c r="F757" s="11"/>
      <c r="G757" s="11"/>
      <c r="H757" s="11"/>
      <c r="I757" s="11"/>
      <c r="J757" s="11"/>
      <c r="K757" s="11"/>
      <c r="L757" s="15"/>
      <c r="M757" s="15"/>
      <c r="N757" s="15"/>
      <c r="O757" s="15"/>
      <c r="P757" s="15"/>
      <c r="Q757" s="11"/>
      <c r="R757" s="11"/>
      <c r="S757" s="11"/>
      <c r="T757" s="11"/>
      <c r="U757" s="15"/>
      <c r="V757" s="11"/>
      <c r="W757" s="11"/>
      <c r="X757" s="11"/>
      <c r="Y757" s="11"/>
      <c r="Z757" s="11"/>
    </row>
    <row r="758">
      <c r="A758" s="18"/>
      <c r="B758" s="11"/>
      <c r="C758" s="11"/>
      <c r="D758" s="11"/>
      <c r="E758" s="11"/>
      <c r="F758" s="11"/>
      <c r="G758" s="11"/>
      <c r="H758" s="11"/>
      <c r="I758" s="11"/>
      <c r="J758" s="11"/>
      <c r="K758" s="11"/>
      <c r="L758" s="15"/>
      <c r="M758" s="15"/>
      <c r="N758" s="15"/>
      <c r="O758" s="15"/>
      <c r="P758" s="15"/>
      <c r="Q758" s="11"/>
      <c r="R758" s="11"/>
      <c r="S758" s="11"/>
      <c r="T758" s="11"/>
      <c r="U758" s="15"/>
      <c r="V758" s="11"/>
      <c r="W758" s="11"/>
      <c r="X758" s="11"/>
      <c r="Y758" s="11"/>
      <c r="Z758" s="11"/>
    </row>
    <row r="759">
      <c r="A759" s="18"/>
      <c r="B759" s="11"/>
      <c r="C759" s="11"/>
      <c r="D759" s="11"/>
      <c r="E759" s="11"/>
      <c r="F759" s="11"/>
      <c r="G759" s="11"/>
      <c r="H759" s="11"/>
      <c r="I759" s="11"/>
      <c r="J759" s="11"/>
      <c r="K759" s="11"/>
      <c r="L759" s="15"/>
      <c r="M759" s="15"/>
      <c r="N759" s="15"/>
      <c r="O759" s="15"/>
      <c r="P759" s="15"/>
      <c r="Q759" s="11"/>
      <c r="R759" s="11"/>
      <c r="S759" s="11"/>
      <c r="T759" s="11"/>
      <c r="U759" s="15"/>
      <c r="V759" s="11"/>
      <c r="W759" s="11"/>
      <c r="X759" s="11"/>
      <c r="Y759" s="11"/>
      <c r="Z759" s="11"/>
    </row>
    <row r="760">
      <c r="A760" s="18"/>
      <c r="B760" s="11"/>
      <c r="C760" s="11"/>
      <c r="D760" s="11"/>
      <c r="E760" s="11"/>
      <c r="F760" s="11"/>
      <c r="G760" s="11"/>
      <c r="H760" s="11"/>
      <c r="I760" s="11"/>
      <c r="J760" s="11"/>
      <c r="K760" s="11"/>
      <c r="L760" s="15"/>
      <c r="M760" s="15"/>
      <c r="N760" s="15"/>
      <c r="O760" s="15"/>
      <c r="P760" s="15"/>
      <c r="Q760" s="11"/>
      <c r="R760" s="11"/>
      <c r="S760" s="11"/>
      <c r="T760" s="11"/>
      <c r="U760" s="15"/>
      <c r="V760" s="11"/>
      <c r="W760" s="11"/>
      <c r="X760" s="11"/>
      <c r="Y760" s="11"/>
      <c r="Z760" s="11"/>
    </row>
    <row r="761">
      <c r="A761" s="18"/>
      <c r="B761" s="11"/>
      <c r="C761" s="11"/>
      <c r="D761" s="11"/>
      <c r="E761" s="11"/>
      <c r="F761" s="11"/>
      <c r="G761" s="11"/>
      <c r="H761" s="11"/>
      <c r="I761" s="11"/>
      <c r="J761" s="11"/>
      <c r="K761" s="11"/>
      <c r="L761" s="15"/>
      <c r="M761" s="15"/>
      <c r="N761" s="15"/>
      <c r="O761" s="15"/>
      <c r="P761" s="15"/>
      <c r="Q761" s="11"/>
      <c r="R761" s="11"/>
      <c r="S761" s="11"/>
      <c r="T761" s="11"/>
      <c r="U761" s="15"/>
      <c r="V761" s="11"/>
      <c r="W761" s="11"/>
      <c r="X761" s="11"/>
      <c r="Y761" s="11"/>
      <c r="Z761" s="11"/>
    </row>
    <row r="762">
      <c r="A762" s="18"/>
      <c r="B762" s="11"/>
      <c r="C762" s="11"/>
      <c r="D762" s="11"/>
      <c r="E762" s="11"/>
      <c r="F762" s="11"/>
      <c r="G762" s="11"/>
      <c r="H762" s="11"/>
      <c r="I762" s="11"/>
      <c r="J762" s="11"/>
      <c r="K762" s="11"/>
      <c r="L762" s="15"/>
      <c r="M762" s="15"/>
      <c r="N762" s="15"/>
      <c r="O762" s="15"/>
      <c r="P762" s="15"/>
      <c r="Q762" s="11"/>
      <c r="R762" s="11"/>
      <c r="S762" s="11"/>
      <c r="T762" s="11"/>
      <c r="U762" s="15"/>
      <c r="V762" s="11"/>
      <c r="W762" s="11"/>
      <c r="X762" s="11"/>
      <c r="Y762" s="11"/>
      <c r="Z762" s="11"/>
    </row>
    <row r="763">
      <c r="A763" s="18"/>
      <c r="B763" s="11"/>
      <c r="C763" s="11"/>
      <c r="D763" s="11"/>
      <c r="E763" s="11"/>
      <c r="F763" s="11"/>
      <c r="G763" s="11"/>
      <c r="H763" s="11"/>
      <c r="I763" s="11"/>
      <c r="J763" s="11"/>
      <c r="K763" s="11"/>
      <c r="L763" s="15"/>
      <c r="M763" s="15"/>
      <c r="N763" s="15"/>
      <c r="O763" s="15"/>
      <c r="P763" s="15"/>
      <c r="Q763" s="11"/>
      <c r="R763" s="11"/>
      <c r="S763" s="11"/>
      <c r="T763" s="11"/>
      <c r="U763" s="15"/>
      <c r="V763" s="11"/>
      <c r="W763" s="11"/>
      <c r="X763" s="11"/>
      <c r="Y763" s="11"/>
      <c r="Z763" s="11"/>
    </row>
    <row r="764">
      <c r="A764" s="18"/>
      <c r="B764" s="11"/>
      <c r="C764" s="11"/>
      <c r="D764" s="11"/>
      <c r="E764" s="11"/>
      <c r="F764" s="11"/>
      <c r="G764" s="11"/>
      <c r="H764" s="11"/>
      <c r="I764" s="11"/>
      <c r="J764" s="11"/>
      <c r="K764" s="11"/>
      <c r="L764" s="15"/>
      <c r="M764" s="15"/>
      <c r="N764" s="15"/>
      <c r="O764" s="15"/>
      <c r="P764" s="15"/>
      <c r="Q764" s="11"/>
      <c r="R764" s="11"/>
      <c r="S764" s="11"/>
      <c r="T764" s="11"/>
      <c r="U764" s="15"/>
      <c r="V764" s="11"/>
      <c r="W764" s="11"/>
      <c r="X764" s="11"/>
      <c r="Y764" s="11"/>
      <c r="Z764" s="11"/>
    </row>
    <row r="765">
      <c r="A765" s="18"/>
      <c r="B765" s="11"/>
      <c r="C765" s="11"/>
      <c r="D765" s="11"/>
      <c r="E765" s="11"/>
      <c r="F765" s="11"/>
      <c r="G765" s="11"/>
      <c r="H765" s="11"/>
      <c r="I765" s="11"/>
      <c r="J765" s="11"/>
      <c r="K765" s="11"/>
      <c r="L765" s="15"/>
      <c r="M765" s="15"/>
      <c r="N765" s="15"/>
      <c r="O765" s="15"/>
      <c r="P765" s="15"/>
      <c r="Q765" s="11"/>
      <c r="R765" s="11"/>
      <c r="S765" s="11"/>
      <c r="T765" s="11"/>
      <c r="U765" s="15"/>
      <c r="V765" s="11"/>
      <c r="W765" s="11"/>
      <c r="X765" s="11"/>
      <c r="Y765" s="11"/>
      <c r="Z765" s="11"/>
    </row>
    <row r="766">
      <c r="A766" s="18"/>
      <c r="B766" s="11"/>
      <c r="C766" s="11"/>
      <c r="D766" s="11"/>
      <c r="E766" s="11"/>
      <c r="F766" s="11"/>
      <c r="G766" s="11"/>
      <c r="H766" s="11"/>
      <c r="I766" s="11"/>
      <c r="J766" s="11"/>
      <c r="K766" s="11"/>
      <c r="L766" s="15"/>
      <c r="M766" s="15"/>
      <c r="N766" s="15"/>
      <c r="O766" s="15"/>
      <c r="P766" s="15"/>
      <c r="Q766" s="11"/>
      <c r="R766" s="11"/>
      <c r="S766" s="11"/>
      <c r="T766" s="11"/>
      <c r="U766" s="15"/>
      <c r="V766" s="11"/>
      <c r="W766" s="11"/>
      <c r="X766" s="11"/>
      <c r="Y766" s="11"/>
      <c r="Z766" s="11"/>
    </row>
    <row r="767">
      <c r="A767" s="18"/>
      <c r="B767" s="11"/>
      <c r="C767" s="11"/>
      <c r="D767" s="11"/>
      <c r="E767" s="11"/>
      <c r="F767" s="11"/>
      <c r="G767" s="11"/>
      <c r="H767" s="11"/>
      <c r="I767" s="11"/>
      <c r="J767" s="11"/>
      <c r="K767" s="11"/>
      <c r="L767" s="15"/>
      <c r="M767" s="15"/>
      <c r="N767" s="15"/>
      <c r="O767" s="15"/>
      <c r="P767" s="15"/>
      <c r="Q767" s="11"/>
      <c r="R767" s="11"/>
      <c r="S767" s="11"/>
      <c r="T767" s="11"/>
      <c r="U767" s="15"/>
      <c r="V767" s="11"/>
      <c r="W767" s="11"/>
      <c r="X767" s="11"/>
      <c r="Y767" s="11"/>
      <c r="Z767" s="11"/>
    </row>
    <row r="768">
      <c r="A768" s="18"/>
      <c r="B768" s="11"/>
      <c r="C768" s="11"/>
      <c r="D768" s="11"/>
      <c r="E768" s="11"/>
      <c r="F768" s="11"/>
      <c r="G768" s="11"/>
      <c r="H768" s="11"/>
      <c r="I768" s="11"/>
      <c r="J768" s="11"/>
      <c r="K768" s="11"/>
      <c r="L768" s="15"/>
      <c r="M768" s="15"/>
      <c r="N768" s="15"/>
      <c r="O768" s="15"/>
      <c r="P768" s="15"/>
      <c r="Q768" s="11"/>
      <c r="R768" s="11"/>
      <c r="S768" s="11"/>
      <c r="T768" s="11"/>
      <c r="U768" s="15"/>
      <c r="V768" s="11"/>
      <c r="W768" s="11"/>
      <c r="X768" s="11"/>
      <c r="Y768" s="11"/>
      <c r="Z768" s="11"/>
    </row>
    <row r="769">
      <c r="A769" s="18"/>
      <c r="B769" s="11"/>
      <c r="C769" s="11"/>
      <c r="D769" s="11"/>
      <c r="E769" s="11"/>
      <c r="F769" s="11"/>
      <c r="G769" s="11"/>
      <c r="H769" s="11"/>
      <c r="I769" s="11"/>
      <c r="J769" s="11"/>
      <c r="K769" s="11"/>
      <c r="L769" s="15"/>
      <c r="M769" s="15"/>
      <c r="N769" s="15"/>
      <c r="O769" s="15"/>
      <c r="P769" s="15"/>
      <c r="Q769" s="11"/>
      <c r="R769" s="11"/>
      <c r="S769" s="11"/>
      <c r="T769" s="11"/>
      <c r="U769" s="15"/>
      <c r="V769" s="11"/>
      <c r="W769" s="11"/>
      <c r="X769" s="11"/>
      <c r="Y769" s="11"/>
      <c r="Z769" s="11"/>
    </row>
    <row r="770">
      <c r="A770" s="18"/>
      <c r="B770" s="11"/>
      <c r="C770" s="11"/>
      <c r="D770" s="11"/>
      <c r="E770" s="11"/>
      <c r="F770" s="11"/>
      <c r="G770" s="11"/>
      <c r="H770" s="11"/>
      <c r="I770" s="11"/>
      <c r="J770" s="11"/>
      <c r="K770" s="11"/>
      <c r="L770" s="15"/>
      <c r="M770" s="15"/>
      <c r="N770" s="15"/>
      <c r="O770" s="15"/>
      <c r="P770" s="15"/>
      <c r="Q770" s="11"/>
      <c r="R770" s="11"/>
      <c r="S770" s="11"/>
      <c r="T770" s="11"/>
      <c r="U770" s="15"/>
      <c r="V770" s="11"/>
      <c r="W770" s="11"/>
      <c r="X770" s="11"/>
      <c r="Y770" s="11"/>
      <c r="Z770" s="11"/>
    </row>
    <row r="771">
      <c r="A771" s="18"/>
      <c r="B771" s="11"/>
      <c r="C771" s="11"/>
      <c r="D771" s="11"/>
      <c r="E771" s="11"/>
      <c r="F771" s="11"/>
      <c r="G771" s="11"/>
      <c r="H771" s="11"/>
      <c r="I771" s="11"/>
      <c r="J771" s="11"/>
      <c r="K771" s="11"/>
      <c r="L771" s="15"/>
      <c r="M771" s="15"/>
      <c r="N771" s="15"/>
      <c r="O771" s="15"/>
      <c r="P771" s="15"/>
      <c r="Q771" s="11"/>
      <c r="R771" s="11"/>
      <c r="S771" s="11"/>
      <c r="T771" s="11"/>
      <c r="U771" s="15"/>
      <c r="V771" s="11"/>
      <c r="W771" s="11"/>
      <c r="X771" s="11"/>
      <c r="Y771" s="11"/>
      <c r="Z771" s="11"/>
    </row>
    <row r="772">
      <c r="A772" s="18"/>
      <c r="B772" s="11"/>
      <c r="C772" s="11"/>
      <c r="D772" s="11"/>
      <c r="E772" s="11"/>
      <c r="F772" s="11"/>
      <c r="G772" s="11"/>
      <c r="H772" s="11"/>
      <c r="I772" s="11"/>
      <c r="J772" s="11"/>
      <c r="K772" s="11"/>
      <c r="L772" s="15"/>
      <c r="M772" s="15"/>
      <c r="N772" s="15"/>
      <c r="O772" s="15"/>
      <c r="P772" s="15"/>
      <c r="Q772" s="11"/>
      <c r="R772" s="11"/>
      <c r="S772" s="11"/>
      <c r="T772" s="11"/>
      <c r="U772" s="15"/>
      <c r="V772" s="11"/>
      <c r="W772" s="11"/>
      <c r="X772" s="11"/>
      <c r="Y772" s="11"/>
      <c r="Z772" s="11"/>
    </row>
    <row r="773">
      <c r="A773" s="18"/>
      <c r="B773" s="11"/>
      <c r="C773" s="11"/>
      <c r="D773" s="11"/>
      <c r="E773" s="11"/>
      <c r="F773" s="11"/>
      <c r="G773" s="11"/>
      <c r="H773" s="11"/>
      <c r="I773" s="11"/>
      <c r="J773" s="11"/>
      <c r="K773" s="11"/>
      <c r="L773" s="15"/>
      <c r="M773" s="15"/>
      <c r="N773" s="15"/>
      <c r="O773" s="15"/>
      <c r="P773" s="15"/>
      <c r="Q773" s="11"/>
      <c r="R773" s="11"/>
      <c r="S773" s="11"/>
      <c r="T773" s="11"/>
      <c r="U773" s="15"/>
      <c r="V773" s="11"/>
      <c r="W773" s="11"/>
      <c r="X773" s="11"/>
      <c r="Y773" s="11"/>
      <c r="Z773" s="11"/>
    </row>
    <row r="774">
      <c r="A774" s="18"/>
      <c r="B774" s="11"/>
      <c r="C774" s="11"/>
      <c r="D774" s="11"/>
      <c r="E774" s="11"/>
      <c r="F774" s="11"/>
      <c r="G774" s="11"/>
      <c r="H774" s="11"/>
      <c r="I774" s="11"/>
      <c r="J774" s="11"/>
      <c r="K774" s="11"/>
      <c r="L774" s="15"/>
      <c r="M774" s="15"/>
      <c r="N774" s="15"/>
      <c r="O774" s="15"/>
      <c r="P774" s="15"/>
      <c r="Q774" s="11"/>
      <c r="R774" s="11"/>
      <c r="S774" s="11"/>
      <c r="T774" s="11"/>
      <c r="U774" s="15"/>
      <c r="V774" s="11"/>
      <c r="W774" s="11"/>
      <c r="X774" s="11"/>
      <c r="Y774" s="11"/>
      <c r="Z774" s="11"/>
    </row>
    <row r="775">
      <c r="A775" s="18"/>
      <c r="B775" s="11"/>
      <c r="C775" s="11"/>
      <c r="D775" s="11"/>
      <c r="E775" s="11"/>
      <c r="F775" s="11"/>
      <c r="G775" s="11"/>
      <c r="H775" s="11"/>
      <c r="I775" s="11"/>
      <c r="J775" s="11"/>
      <c r="K775" s="11"/>
      <c r="L775" s="15"/>
      <c r="M775" s="15"/>
      <c r="N775" s="15"/>
      <c r="O775" s="15"/>
      <c r="P775" s="15"/>
      <c r="Q775" s="11"/>
      <c r="R775" s="11"/>
      <c r="S775" s="11"/>
      <c r="T775" s="11"/>
      <c r="U775" s="15"/>
      <c r="V775" s="11"/>
      <c r="W775" s="11"/>
      <c r="X775" s="11"/>
      <c r="Y775" s="11"/>
      <c r="Z775" s="11"/>
    </row>
    <row r="776">
      <c r="A776" s="18"/>
      <c r="B776" s="11"/>
      <c r="C776" s="11"/>
      <c r="D776" s="11"/>
      <c r="E776" s="11"/>
      <c r="F776" s="11"/>
      <c r="G776" s="11"/>
      <c r="H776" s="11"/>
      <c r="I776" s="11"/>
      <c r="J776" s="11"/>
      <c r="K776" s="11"/>
      <c r="L776" s="15"/>
      <c r="M776" s="15"/>
      <c r="N776" s="15"/>
      <c r="O776" s="15"/>
      <c r="P776" s="15"/>
      <c r="Q776" s="11"/>
      <c r="R776" s="11"/>
      <c r="S776" s="11"/>
      <c r="T776" s="11"/>
      <c r="U776" s="15"/>
      <c r="V776" s="11"/>
      <c r="W776" s="11"/>
      <c r="X776" s="11"/>
      <c r="Y776" s="11"/>
      <c r="Z776" s="11"/>
    </row>
    <row r="777">
      <c r="A777" s="18"/>
      <c r="B777" s="11"/>
      <c r="C777" s="11"/>
      <c r="D777" s="11"/>
      <c r="E777" s="11"/>
      <c r="F777" s="11"/>
      <c r="G777" s="11"/>
      <c r="H777" s="11"/>
      <c r="I777" s="11"/>
      <c r="J777" s="11"/>
      <c r="K777" s="11"/>
      <c r="L777" s="15"/>
      <c r="M777" s="15"/>
      <c r="N777" s="15"/>
      <c r="O777" s="15"/>
      <c r="P777" s="15"/>
      <c r="Q777" s="11"/>
      <c r="R777" s="11"/>
      <c r="S777" s="11"/>
      <c r="T777" s="11"/>
      <c r="U777" s="15"/>
      <c r="V777" s="11"/>
      <c r="W777" s="11"/>
      <c r="X777" s="11"/>
      <c r="Y777" s="11"/>
      <c r="Z777" s="11"/>
    </row>
    <row r="778">
      <c r="A778" s="18"/>
      <c r="B778" s="11"/>
      <c r="C778" s="11"/>
      <c r="D778" s="11"/>
      <c r="E778" s="11"/>
      <c r="F778" s="11"/>
      <c r="G778" s="11"/>
      <c r="H778" s="11"/>
      <c r="I778" s="11"/>
      <c r="J778" s="11"/>
      <c r="K778" s="11"/>
      <c r="L778" s="15"/>
      <c r="M778" s="15"/>
      <c r="N778" s="15"/>
      <c r="O778" s="15"/>
      <c r="P778" s="15"/>
      <c r="Q778" s="11"/>
      <c r="R778" s="11"/>
      <c r="S778" s="11"/>
      <c r="T778" s="11"/>
      <c r="U778" s="15"/>
      <c r="V778" s="11"/>
      <c r="W778" s="11"/>
      <c r="X778" s="11"/>
      <c r="Y778" s="11"/>
      <c r="Z778" s="11"/>
    </row>
    <row r="779">
      <c r="A779" s="18"/>
      <c r="B779" s="11"/>
      <c r="C779" s="11"/>
      <c r="D779" s="11"/>
      <c r="E779" s="11"/>
      <c r="F779" s="11"/>
      <c r="G779" s="11"/>
      <c r="H779" s="11"/>
      <c r="I779" s="11"/>
      <c r="J779" s="11"/>
      <c r="K779" s="11"/>
      <c r="L779" s="15"/>
      <c r="M779" s="15"/>
      <c r="N779" s="15"/>
      <c r="O779" s="15"/>
      <c r="P779" s="15"/>
      <c r="Q779" s="11"/>
      <c r="R779" s="11"/>
      <c r="S779" s="11"/>
      <c r="T779" s="11"/>
      <c r="U779" s="15"/>
      <c r="V779" s="11"/>
      <c r="W779" s="11"/>
      <c r="X779" s="11"/>
      <c r="Y779" s="11"/>
      <c r="Z779" s="11"/>
    </row>
    <row r="780">
      <c r="A780" s="18"/>
      <c r="B780" s="11"/>
      <c r="C780" s="11"/>
      <c r="D780" s="11"/>
      <c r="E780" s="11"/>
      <c r="F780" s="11"/>
      <c r="G780" s="11"/>
      <c r="H780" s="11"/>
      <c r="I780" s="11"/>
      <c r="J780" s="11"/>
      <c r="K780" s="11"/>
      <c r="L780" s="15"/>
      <c r="M780" s="15"/>
      <c r="N780" s="15"/>
      <c r="O780" s="15"/>
      <c r="P780" s="15"/>
      <c r="Q780" s="11"/>
      <c r="R780" s="11"/>
      <c r="S780" s="11"/>
      <c r="T780" s="11"/>
      <c r="U780" s="15"/>
      <c r="V780" s="11"/>
      <c r="W780" s="11"/>
      <c r="X780" s="11"/>
      <c r="Y780" s="11"/>
      <c r="Z780" s="11"/>
    </row>
    <row r="781">
      <c r="A781" s="18"/>
      <c r="B781" s="11"/>
      <c r="C781" s="11"/>
      <c r="D781" s="11"/>
      <c r="E781" s="11"/>
      <c r="F781" s="11"/>
      <c r="G781" s="11"/>
      <c r="H781" s="11"/>
      <c r="I781" s="11"/>
      <c r="J781" s="11"/>
      <c r="K781" s="11"/>
      <c r="L781" s="15"/>
      <c r="M781" s="15"/>
      <c r="N781" s="15"/>
      <c r="O781" s="15"/>
      <c r="P781" s="15"/>
      <c r="Q781" s="11"/>
      <c r="R781" s="11"/>
      <c r="S781" s="11"/>
      <c r="T781" s="11"/>
      <c r="U781" s="15"/>
      <c r="V781" s="11"/>
      <c r="W781" s="11"/>
      <c r="X781" s="11"/>
      <c r="Y781" s="11"/>
      <c r="Z781" s="11"/>
    </row>
    <row r="782">
      <c r="A782" s="18"/>
      <c r="B782" s="11"/>
      <c r="C782" s="11"/>
      <c r="D782" s="11"/>
      <c r="E782" s="11"/>
      <c r="F782" s="11"/>
      <c r="G782" s="11"/>
      <c r="H782" s="11"/>
      <c r="I782" s="11"/>
      <c r="J782" s="11"/>
      <c r="K782" s="11"/>
      <c r="L782" s="15"/>
      <c r="M782" s="15"/>
      <c r="N782" s="15"/>
      <c r="O782" s="15"/>
      <c r="P782" s="15"/>
      <c r="Q782" s="11"/>
      <c r="R782" s="11"/>
      <c r="S782" s="11"/>
      <c r="T782" s="11"/>
      <c r="U782" s="15"/>
      <c r="V782" s="11"/>
      <c r="W782" s="11"/>
      <c r="X782" s="11"/>
      <c r="Y782" s="11"/>
      <c r="Z782" s="11"/>
    </row>
    <row r="783">
      <c r="A783" s="18"/>
      <c r="B783" s="11"/>
      <c r="C783" s="11"/>
      <c r="D783" s="11"/>
      <c r="E783" s="11"/>
      <c r="F783" s="11"/>
      <c r="G783" s="11"/>
      <c r="H783" s="11"/>
      <c r="I783" s="11"/>
      <c r="J783" s="11"/>
      <c r="K783" s="11"/>
      <c r="L783" s="15"/>
      <c r="M783" s="15"/>
      <c r="N783" s="15"/>
      <c r="O783" s="15"/>
      <c r="P783" s="15"/>
      <c r="Q783" s="11"/>
      <c r="R783" s="11"/>
      <c r="S783" s="11"/>
      <c r="T783" s="11"/>
      <c r="U783" s="15"/>
      <c r="V783" s="11"/>
      <c r="W783" s="11"/>
      <c r="X783" s="11"/>
      <c r="Y783" s="11"/>
      <c r="Z783" s="11"/>
    </row>
    <row r="784">
      <c r="A784" s="18"/>
      <c r="B784" s="11"/>
      <c r="C784" s="11"/>
      <c r="D784" s="11"/>
      <c r="E784" s="11"/>
      <c r="F784" s="11"/>
      <c r="G784" s="11"/>
      <c r="H784" s="11"/>
      <c r="I784" s="11"/>
      <c r="J784" s="11"/>
      <c r="K784" s="11"/>
      <c r="L784" s="15"/>
      <c r="M784" s="15"/>
      <c r="N784" s="15"/>
      <c r="O784" s="15"/>
      <c r="P784" s="15"/>
      <c r="Q784" s="11"/>
      <c r="R784" s="11"/>
      <c r="S784" s="11"/>
      <c r="T784" s="11"/>
      <c r="U784" s="15"/>
      <c r="V784" s="11"/>
      <c r="W784" s="11"/>
      <c r="X784" s="11"/>
      <c r="Y784" s="11"/>
      <c r="Z784" s="11"/>
    </row>
    <row r="785">
      <c r="A785" s="18"/>
      <c r="B785" s="11"/>
      <c r="C785" s="11"/>
      <c r="D785" s="11"/>
      <c r="E785" s="11"/>
      <c r="F785" s="11"/>
      <c r="G785" s="11"/>
      <c r="H785" s="11"/>
      <c r="I785" s="11"/>
      <c r="J785" s="11"/>
      <c r="K785" s="11"/>
      <c r="L785" s="15"/>
      <c r="M785" s="15"/>
      <c r="N785" s="15"/>
      <c r="O785" s="15"/>
      <c r="P785" s="15"/>
      <c r="Q785" s="11"/>
      <c r="R785" s="11"/>
      <c r="S785" s="11"/>
      <c r="T785" s="11"/>
      <c r="U785" s="15"/>
      <c r="V785" s="11"/>
      <c r="W785" s="11"/>
      <c r="X785" s="11"/>
      <c r="Y785" s="11"/>
      <c r="Z785" s="11"/>
    </row>
    <row r="786">
      <c r="A786" s="18"/>
      <c r="B786" s="11"/>
      <c r="C786" s="11"/>
      <c r="D786" s="11"/>
      <c r="E786" s="11"/>
      <c r="F786" s="11"/>
      <c r="G786" s="11"/>
      <c r="H786" s="11"/>
      <c r="I786" s="11"/>
      <c r="J786" s="11"/>
      <c r="K786" s="11"/>
      <c r="L786" s="15"/>
      <c r="M786" s="15"/>
      <c r="N786" s="15"/>
      <c r="O786" s="15"/>
      <c r="P786" s="15"/>
      <c r="Q786" s="11"/>
      <c r="R786" s="11"/>
      <c r="S786" s="11"/>
      <c r="T786" s="11"/>
      <c r="U786" s="15"/>
      <c r="V786" s="11"/>
      <c r="W786" s="11"/>
      <c r="X786" s="11"/>
      <c r="Y786" s="11"/>
      <c r="Z786" s="11"/>
    </row>
    <row r="787">
      <c r="A787" s="18"/>
      <c r="B787" s="11"/>
      <c r="C787" s="11"/>
      <c r="D787" s="11"/>
      <c r="E787" s="11"/>
      <c r="F787" s="11"/>
      <c r="G787" s="11"/>
      <c r="H787" s="11"/>
      <c r="I787" s="11"/>
      <c r="J787" s="11"/>
      <c r="K787" s="11"/>
      <c r="L787" s="15"/>
      <c r="M787" s="15"/>
      <c r="N787" s="15"/>
      <c r="O787" s="15"/>
      <c r="P787" s="15"/>
      <c r="Q787" s="11"/>
      <c r="R787" s="11"/>
      <c r="S787" s="11"/>
      <c r="T787" s="11"/>
      <c r="U787" s="15"/>
      <c r="V787" s="11"/>
      <c r="W787" s="11"/>
      <c r="X787" s="11"/>
      <c r="Y787" s="11"/>
      <c r="Z787" s="11"/>
    </row>
    <row r="788">
      <c r="A788" s="18"/>
      <c r="B788" s="11"/>
      <c r="C788" s="11"/>
      <c r="D788" s="11"/>
      <c r="E788" s="11"/>
      <c r="F788" s="11"/>
      <c r="G788" s="11"/>
      <c r="H788" s="11"/>
      <c r="I788" s="11"/>
      <c r="J788" s="11"/>
      <c r="K788" s="11"/>
      <c r="L788" s="15"/>
      <c r="M788" s="15"/>
      <c r="N788" s="15"/>
      <c r="O788" s="15"/>
      <c r="P788" s="15"/>
      <c r="Q788" s="11"/>
      <c r="R788" s="11"/>
      <c r="S788" s="11"/>
      <c r="T788" s="11"/>
      <c r="U788" s="15"/>
      <c r="V788" s="11"/>
      <c r="W788" s="11"/>
      <c r="X788" s="11"/>
      <c r="Y788" s="11"/>
      <c r="Z788" s="11"/>
    </row>
    <row r="789">
      <c r="A789" s="18"/>
      <c r="B789" s="11"/>
      <c r="C789" s="11"/>
      <c r="D789" s="11"/>
      <c r="E789" s="11"/>
      <c r="F789" s="11"/>
      <c r="G789" s="11"/>
      <c r="H789" s="11"/>
      <c r="I789" s="11"/>
      <c r="J789" s="11"/>
      <c r="K789" s="11"/>
      <c r="L789" s="15"/>
      <c r="M789" s="15"/>
      <c r="N789" s="15"/>
      <c r="O789" s="15"/>
      <c r="P789" s="15"/>
      <c r="Q789" s="11"/>
      <c r="R789" s="11"/>
      <c r="S789" s="11"/>
      <c r="T789" s="11"/>
      <c r="U789" s="15"/>
      <c r="V789" s="11"/>
      <c r="W789" s="11"/>
      <c r="X789" s="11"/>
      <c r="Y789" s="11"/>
      <c r="Z789" s="11"/>
    </row>
    <row r="790">
      <c r="A790" s="18"/>
      <c r="B790" s="11"/>
      <c r="C790" s="11"/>
      <c r="D790" s="11"/>
      <c r="E790" s="11"/>
      <c r="F790" s="11"/>
      <c r="G790" s="11"/>
      <c r="H790" s="11"/>
      <c r="I790" s="11"/>
      <c r="J790" s="11"/>
      <c r="K790" s="11"/>
      <c r="L790" s="15"/>
      <c r="M790" s="15"/>
      <c r="N790" s="15"/>
      <c r="O790" s="15"/>
      <c r="P790" s="15"/>
      <c r="Q790" s="11"/>
      <c r="R790" s="11"/>
      <c r="S790" s="11"/>
      <c r="T790" s="11"/>
      <c r="U790" s="15"/>
      <c r="V790" s="11"/>
      <c r="W790" s="11"/>
      <c r="X790" s="11"/>
      <c r="Y790" s="11"/>
      <c r="Z790" s="11"/>
    </row>
    <row r="791">
      <c r="A791" s="18"/>
      <c r="B791" s="11"/>
      <c r="C791" s="11"/>
      <c r="D791" s="11"/>
      <c r="E791" s="11"/>
      <c r="F791" s="11"/>
      <c r="G791" s="11"/>
      <c r="H791" s="11"/>
      <c r="I791" s="11"/>
      <c r="J791" s="11"/>
      <c r="K791" s="11"/>
      <c r="L791" s="15"/>
      <c r="M791" s="15"/>
      <c r="N791" s="15"/>
      <c r="O791" s="15"/>
      <c r="P791" s="15"/>
      <c r="Q791" s="11"/>
      <c r="R791" s="11"/>
      <c r="S791" s="11"/>
      <c r="T791" s="11"/>
      <c r="U791" s="15"/>
      <c r="V791" s="11"/>
      <c r="W791" s="11"/>
      <c r="X791" s="11"/>
      <c r="Y791" s="11"/>
      <c r="Z791" s="11"/>
    </row>
    <row r="792">
      <c r="A792" s="18"/>
      <c r="B792" s="11"/>
      <c r="C792" s="11"/>
      <c r="D792" s="11"/>
      <c r="E792" s="11"/>
      <c r="F792" s="11"/>
      <c r="G792" s="11"/>
      <c r="H792" s="11"/>
      <c r="I792" s="11"/>
      <c r="J792" s="11"/>
      <c r="K792" s="11"/>
      <c r="L792" s="15"/>
      <c r="M792" s="15"/>
      <c r="N792" s="15"/>
      <c r="O792" s="15"/>
      <c r="P792" s="15"/>
      <c r="Q792" s="11"/>
      <c r="R792" s="11"/>
      <c r="S792" s="11"/>
      <c r="T792" s="11"/>
      <c r="U792" s="15"/>
      <c r="V792" s="11"/>
      <c r="W792" s="11"/>
      <c r="X792" s="11"/>
      <c r="Y792" s="11"/>
      <c r="Z792" s="11"/>
    </row>
    <row r="793">
      <c r="A793" s="18"/>
      <c r="B793" s="11"/>
      <c r="C793" s="11"/>
      <c r="D793" s="11"/>
      <c r="E793" s="11"/>
      <c r="F793" s="11"/>
      <c r="G793" s="11"/>
      <c r="H793" s="11"/>
      <c r="I793" s="11"/>
      <c r="J793" s="11"/>
      <c r="K793" s="11"/>
      <c r="L793" s="15"/>
      <c r="M793" s="15"/>
      <c r="N793" s="15"/>
      <c r="O793" s="15"/>
      <c r="P793" s="15"/>
      <c r="Q793" s="11"/>
      <c r="R793" s="11"/>
      <c r="S793" s="11"/>
      <c r="T793" s="11"/>
      <c r="U793" s="15"/>
      <c r="V793" s="11"/>
      <c r="W793" s="11"/>
      <c r="X793" s="11"/>
      <c r="Y793" s="11"/>
      <c r="Z793" s="11"/>
    </row>
    <row r="794">
      <c r="A794" s="18"/>
      <c r="B794" s="11"/>
      <c r="C794" s="11"/>
      <c r="D794" s="11"/>
      <c r="E794" s="11"/>
      <c r="F794" s="11"/>
      <c r="G794" s="11"/>
      <c r="H794" s="11"/>
      <c r="I794" s="11"/>
      <c r="J794" s="11"/>
      <c r="K794" s="11"/>
      <c r="L794" s="15"/>
      <c r="M794" s="15"/>
      <c r="N794" s="15"/>
      <c r="O794" s="15"/>
      <c r="P794" s="15"/>
      <c r="Q794" s="11"/>
      <c r="R794" s="11"/>
      <c r="S794" s="11"/>
      <c r="T794" s="11"/>
      <c r="U794" s="15"/>
      <c r="V794" s="11"/>
      <c r="W794" s="11"/>
      <c r="X794" s="11"/>
      <c r="Y794" s="11"/>
      <c r="Z794" s="11"/>
    </row>
    <row r="795">
      <c r="A795" s="18"/>
      <c r="B795" s="11"/>
      <c r="C795" s="11"/>
      <c r="D795" s="11"/>
      <c r="E795" s="11"/>
      <c r="F795" s="11"/>
      <c r="G795" s="11"/>
      <c r="H795" s="11"/>
      <c r="I795" s="11"/>
      <c r="J795" s="11"/>
      <c r="K795" s="11"/>
      <c r="L795" s="15"/>
      <c r="M795" s="15"/>
      <c r="N795" s="15"/>
      <c r="O795" s="15"/>
      <c r="P795" s="15"/>
      <c r="Q795" s="11"/>
      <c r="R795" s="11"/>
      <c r="S795" s="11"/>
      <c r="T795" s="11"/>
      <c r="U795" s="15"/>
      <c r="V795" s="11"/>
      <c r="W795" s="11"/>
      <c r="X795" s="11"/>
      <c r="Y795" s="11"/>
      <c r="Z795" s="11"/>
    </row>
    <row r="796">
      <c r="A796" s="18"/>
      <c r="B796" s="11"/>
      <c r="C796" s="11"/>
      <c r="D796" s="11"/>
      <c r="E796" s="11"/>
      <c r="F796" s="11"/>
      <c r="G796" s="11"/>
      <c r="H796" s="11"/>
      <c r="I796" s="11"/>
      <c r="J796" s="11"/>
      <c r="K796" s="11"/>
      <c r="L796" s="15"/>
      <c r="M796" s="15"/>
      <c r="N796" s="15"/>
      <c r="O796" s="15"/>
      <c r="P796" s="15"/>
      <c r="Q796" s="11"/>
      <c r="R796" s="11"/>
      <c r="S796" s="11"/>
      <c r="T796" s="11"/>
      <c r="U796" s="15"/>
      <c r="V796" s="11"/>
      <c r="W796" s="11"/>
      <c r="X796" s="11"/>
      <c r="Y796" s="11"/>
      <c r="Z796" s="11"/>
    </row>
    <row r="797">
      <c r="A797" s="18"/>
      <c r="B797" s="11"/>
      <c r="C797" s="11"/>
      <c r="D797" s="11"/>
      <c r="E797" s="11"/>
      <c r="F797" s="11"/>
      <c r="G797" s="11"/>
      <c r="H797" s="11"/>
      <c r="I797" s="11"/>
      <c r="J797" s="11"/>
      <c r="K797" s="11"/>
      <c r="L797" s="15"/>
      <c r="M797" s="15"/>
      <c r="N797" s="15"/>
      <c r="O797" s="15"/>
      <c r="P797" s="15"/>
      <c r="Q797" s="11"/>
      <c r="R797" s="11"/>
      <c r="S797" s="11"/>
      <c r="T797" s="11"/>
      <c r="U797" s="15"/>
      <c r="V797" s="11"/>
      <c r="W797" s="11"/>
      <c r="X797" s="11"/>
      <c r="Y797" s="11"/>
      <c r="Z797" s="11"/>
    </row>
    <row r="798">
      <c r="A798" s="18"/>
      <c r="B798" s="11"/>
      <c r="C798" s="11"/>
      <c r="D798" s="11"/>
      <c r="E798" s="11"/>
      <c r="F798" s="11"/>
      <c r="G798" s="11"/>
      <c r="H798" s="11"/>
      <c r="I798" s="11"/>
      <c r="J798" s="11"/>
      <c r="K798" s="11"/>
      <c r="L798" s="15"/>
      <c r="M798" s="15"/>
      <c r="N798" s="15"/>
      <c r="O798" s="15"/>
      <c r="P798" s="15"/>
      <c r="Q798" s="11"/>
      <c r="R798" s="11"/>
      <c r="S798" s="11"/>
      <c r="T798" s="11"/>
      <c r="U798" s="15"/>
      <c r="V798" s="11"/>
      <c r="W798" s="11"/>
      <c r="X798" s="11"/>
      <c r="Y798" s="11"/>
      <c r="Z798" s="11"/>
    </row>
    <row r="799">
      <c r="A799" s="18"/>
      <c r="B799" s="11"/>
      <c r="C799" s="11"/>
      <c r="D799" s="11"/>
      <c r="E799" s="11"/>
      <c r="F799" s="11"/>
      <c r="G799" s="11"/>
      <c r="H799" s="11"/>
      <c r="I799" s="11"/>
      <c r="J799" s="11"/>
      <c r="K799" s="11"/>
      <c r="L799" s="15"/>
      <c r="M799" s="15"/>
      <c r="N799" s="15"/>
      <c r="O799" s="15"/>
      <c r="P799" s="15"/>
      <c r="Q799" s="11"/>
      <c r="R799" s="11"/>
      <c r="S799" s="11"/>
      <c r="T799" s="11"/>
      <c r="U799" s="15"/>
      <c r="V799" s="11"/>
      <c r="W799" s="11"/>
      <c r="X799" s="11"/>
      <c r="Y799" s="11"/>
      <c r="Z799" s="11"/>
    </row>
    <row r="800">
      <c r="A800" s="18"/>
      <c r="B800" s="11"/>
      <c r="C800" s="11"/>
      <c r="D800" s="11"/>
      <c r="E800" s="11"/>
      <c r="F800" s="11"/>
      <c r="G800" s="11"/>
      <c r="H800" s="11"/>
      <c r="I800" s="11"/>
      <c r="J800" s="11"/>
      <c r="K800" s="11"/>
      <c r="L800" s="15"/>
      <c r="M800" s="15"/>
      <c r="N800" s="15"/>
      <c r="O800" s="15"/>
      <c r="P800" s="15"/>
      <c r="Q800" s="11"/>
      <c r="R800" s="11"/>
      <c r="S800" s="11"/>
      <c r="T800" s="11"/>
      <c r="U800" s="15"/>
      <c r="V800" s="11"/>
      <c r="W800" s="11"/>
      <c r="X800" s="11"/>
      <c r="Y800" s="11"/>
      <c r="Z800" s="11"/>
    </row>
    <row r="801">
      <c r="A801" s="18"/>
      <c r="B801" s="11"/>
      <c r="C801" s="11"/>
      <c r="D801" s="11"/>
      <c r="E801" s="11"/>
      <c r="F801" s="11"/>
      <c r="G801" s="11"/>
      <c r="H801" s="11"/>
      <c r="I801" s="11"/>
      <c r="J801" s="11"/>
      <c r="K801" s="11"/>
      <c r="L801" s="15"/>
      <c r="M801" s="15"/>
      <c r="N801" s="15"/>
      <c r="O801" s="15"/>
      <c r="P801" s="15"/>
      <c r="Q801" s="11"/>
      <c r="R801" s="11"/>
      <c r="S801" s="11"/>
      <c r="T801" s="11"/>
      <c r="U801" s="15"/>
      <c r="V801" s="11"/>
      <c r="W801" s="11"/>
      <c r="X801" s="11"/>
      <c r="Y801" s="11"/>
      <c r="Z801" s="11"/>
    </row>
    <row r="802">
      <c r="A802" s="18"/>
      <c r="B802" s="11"/>
      <c r="C802" s="11"/>
      <c r="D802" s="11"/>
      <c r="E802" s="11"/>
      <c r="F802" s="11"/>
      <c r="G802" s="11"/>
      <c r="H802" s="11"/>
      <c r="I802" s="11"/>
      <c r="J802" s="11"/>
      <c r="K802" s="11"/>
      <c r="L802" s="15"/>
      <c r="M802" s="15"/>
      <c r="N802" s="15"/>
      <c r="O802" s="15"/>
      <c r="P802" s="15"/>
      <c r="Q802" s="11"/>
      <c r="R802" s="11"/>
      <c r="S802" s="11"/>
      <c r="T802" s="11"/>
      <c r="U802" s="15"/>
      <c r="V802" s="11"/>
      <c r="W802" s="11"/>
      <c r="X802" s="11"/>
      <c r="Y802" s="11"/>
      <c r="Z802" s="11"/>
    </row>
    <row r="803">
      <c r="A803" s="18"/>
      <c r="B803" s="11"/>
      <c r="C803" s="11"/>
      <c r="D803" s="11"/>
      <c r="E803" s="11"/>
      <c r="F803" s="11"/>
      <c r="G803" s="11"/>
      <c r="H803" s="11"/>
      <c r="I803" s="11"/>
      <c r="J803" s="11"/>
      <c r="K803" s="11"/>
      <c r="L803" s="15"/>
      <c r="M803" s="15"/>
      <c r="N803" s="15"/>
      <c r="O803" s="15"/>
      <c r="P803" s="15"/>
      <c r="Q803" s="11"/>
      <c r="R803" s="11"/>
      <c r="S803" s="11"/>
      <c r="T803" s="11"/>
      <c r="U803" s="15"/>
      <c r="V803" s="11"/>
      <c r="W803" s="11"/>
      <c r="X803" s="11"/>
      <c r="Y803" s="11"/>
      <c r="Z803" s="11"/>
    </row>
    <row r="804">
      <c r="A804" s="18"/>
      <c r="B804" s="11"/>
      <c r="C804" s="11"/>
      <c r="D804" s="11"/>
      <c r="E804" s="11"/>
      <c r="F804" s="11"/>
      <c r="G804" s="11"/>
      <c r="H804" s="11"/>
      <c r="I804" s="11"/>
      <c r="J804" s="11"/>
      <c r="K804" s="11"/>
      <c r="L804" s="15"/>
      <c r="M804" s="15"/>
      <c r="N804" s="15"/>
      <c r="O804" s="15"/>
      <c r="P804" s="15"/>
      <c r="Q804" s="11"/>
      <c r="R804" s="11"/>
      <c r="S804" s="11"/>
      <c r="T804" s="11"/>
      <c r="U804" s="15"/>
      <c r="V804" s="11"/>
      <c r="W804" s="11"/>
      <c r="X804" s="11"/>
      <c r="Y804" s="11"/>
      <c r="Z804" s="11"/>
    </row>
    <row r="805">
      <c r="A805" s="18"/>
      <c r="B805" s="11"/>
      <c r="C805" s="11"/>
      <c r="D805" s="11"/>
      <c r="E805" s="11"/>
      <c r="F805" s="11"/>
      <c r="G805" s="11"/>
      <c r="H805" s="11"/>
      <c r="I805" s="11"/>
      <c r="J805" s="11"/>
      <c r="K805" s="11"/>
      <c r="L805" s="15"/>
      <c r="M805" s="15"/>
      <c r="N805" s="15"/>
      <c r="O805" s="15"/>
      <c r="P805" s="15"/>
      <c r="Q805" s="11"/>
      <c r="R805" s="11"/>
      <c r="S805" s="11"/>
      <c r="T805" s="11"/>
      <c r="U805" s="15"/>
      <c r="V805" s="11"/>
      <c r="W805" s="11"/>
      <c r="X805" s="11"/>
      <c r="Y805" s="11"/>
      <c r="Z805" s="11"/>
    </row>
    <row r="806">
      <c r="A806" s="18"/>
      <c r="B806" s="11"/>
      <c r="C806" s="11"/>
      <c r="D806" s="11"/>
      <c r="E806" s="11"/>
      <c r="F806" s="11"/>
      <c r="G806" s="11"/>
      <c r="H806" s="11"/>
      <c r="I806" s="11"/>
      <c r="J806" s="11"/>
      <c r="K806" s="11"/>
      <c r="L806" s="15"/>
      <c r="M806" s="15"/>
      <c r="N806" s="15"/>
      <c r="O806" s="15"/>
      <c r="P806" s="15"/>
      <c r="Q806" s="11"/>
      <c r="R806" s="11"/>
      <c r="S806" s="11"/>
      <c r="T806" s="11"/>
      <c r="U806" s="15"/>
      <c r="V806" s="11"/>
      <c r="W806" s="11"/>
      <c r="X806" s="11"/>
      <c r="Y806" s="11"/>
      <c r="Z806" s="11"/>
    </row>
    <row r="807">
      <c r="A807" s="18"/>
      <c r="B807" s="11"/>
      <c r="C807" s="11"/>
      <c r="D807" s="11"/>
      <c r="E807" s="11"/>
      <c r="F807" s="11"/>
      <c r="G807" s="11"/>
      <c r="H807" s="11"/>
      <c r="I807" s="11"/>
      <c r="J807" s="11"/>
      <c r="K807" s="11"/>
      <c r="L807" s="15"/>
      <c r="M807" s="15"/>
      <c r="N807" s="15"/>
      <c r="O807" s="15"/>
      <c r="P807" s="15"/>
      <c r="Q807" s="11"/>
      <c r="R807" s="11"/>
      <c r="S807" s="11"/>
      <c r="T807" s="11"/>
      <c r="U807" s="15"/>
      <c r="V807" s="11"/>
      <c r="W807" s="11"/>
      <c r="X807" s="11"/>
      <c r="Y807" s="11"/>
      <c r="Z807" s="11"/>
    </row>
    <row r="808">
      <c r="A808" s="18"/>
      <c r="B808" s="11"/>
      <c r="C808" s="11"/>
      <c r="D808" s="11"/>
      <c r="E808" s="11"/>
      <c r="F808" s="11"/>
      <c r="G808" s="11"/>
      <c r="H808" s="11"/>
      <c r="I808" s="11"/>
      <c r="J808" s="11"/>
      <c r="K808" s="11"/>
      <c r="L808" s="15"/>
      <c r="M808" s="15"/>
      <c r="N808" s="15"/>
      <c r="O808" s="15"/>
      <c r="P808" s="15"/>
      <c r="Q808" s="11"/>
      <c r="R808" s="11"/>
      <c r="S808" s="11"/>
      <c r="T808" s="11"/>
      <c r="U808" s="15"/>
      <c r="V808" s="11"/>
      <c r="W808" s="11"/>
      <c r="X808" s="11"/>
      <c r="Y808" s="11"/>
      <c r="Z808" s="11"/>
    </row>
    <row r="809">
      <c r="A809" s="18"/>
      <c r="B809" s="11"/>
      <c r="C809" s="11"/>
      <c r="D809" s="11"/>
      <c r="E809" s="11"/>
      <c r="F809" s="11"/>
      <c r="G809" s="11"/>
      <c r="H809" s="11"/>
      <c r="I809" s="11"/>
      <c r="J809" s="11"/>
      <c r="K809" s="11"/>
      <c r="L809" s="15"/>
      <c r="M809" s="15"/>
      <c r="N809" s="15"/>
      <c r="O809" s="15"/>
      <c r="P809" s="15"/>
      <c r="Q809" s="11"/>
      <c r="R809" s="11"/>
      <c r="S809" s="11"/>
      <c r="T809" s="11"/>
      <c r="U809" s="15"/>
      <c r="V809" s="11"/>
      <c r="W809" s="11"/>
      <c r="X809" s="11"/>
      <c r="Y809" s="11"/>
      <c r="Z809" s="11"/>
    </row>
    <row r="810">
      <c r="A810" s="18"/>
      <c r="B810" s="11"/>
      <c r="C810" s="11"/>
      <c r="D810" s="11"/>
      <c r="E810" s="11"/>
      <c r="F810" s="11"/>
      <c r="G810" s="11"/>
      <c r="H810" s="11"/>
      <c r="I810" s="11"/>
      <c r="J810" s="11"/>
      <c r="K810" s="11"/>
      <c r="L810" s="15"/>
      <c r="M810" s="15"/>
      <c r="N810" s="15"/>
      <c r="O810" s="15"/>
      <c r="P810" s="15"/>
      <c r="Q810" s="11"/>
      <c r="R810" s="11"/>
      <c r="S810" s="11"/>
      <c r="T810" s="11"/>
      <c r="U810" s="15"/>
      <c r="V810" s="11"/>
      <c r="W810" s="11"/>
      <c r="X810" s="11"/>
      <c r="Y810" s="11"/>
      <c r="Z810" s="11"/>
    </row>
    <row r="811">
      <c r="A811" s="18"/>
      <c r="B811" s="11"/>
      <c r="C811" s="11"/>
      <c r="D811" s="11"/>
      <c r="E811" s="11"/>
      <c r="F811" s="11"/>
      <c r="G811" s="11"/>
      <c r="H811" s="11"/>
      <c r="I811" s="11"/>
      <c r="J811" s="11"/>
      <c r="K811" s="11"/>
      <c r="L811" s="15"/>
      <c r="M811" s="15"/>
      <c r="N811" s="15"/>
      <c r="O811" s="15"/>
      <c r="P811" s="15"/>
      <c r="Q811" s="11"/>
      <c r="R811" s="11"/>
      <c r="S811" s="11"/>
      <c r="T811" s="11"/>
      <c r="U811" s="15"/>
      <c r="V811" s="11"/>
      <c r="W811" s="11"/>
      <c r="X811" s="11"/>
      <c r="Y811" s="11"/>
      <c r="Z811" s="11"/>
    </row>
    <row r="812">
      <c r="A812" s="18"/>
      <c r="B812" s="11"/>
      <c r="C812" s="11"/>
      <c r="D812" s="11"/>
      <c r="E812" s="11"/>
      <c r="F812" s="11"/>
      <c r="G812" s="11"/>
      <c r="H812" s="11"/>
      <c r="I812" s="11"/>
      <c r="J812" s="11"/>
      <c r="K812" s="11"/>
      <c r="L812" s="15"/>
      <c r="M812" s="15"/>
      <c r="N812" s="15"/>
      <c r="O812" s="15"/>
      <c r="P812" s="15"/>
      <c r="Q812" s="11"/>
      <c r="R812" s="11"/>
      <c r="S812" s="11"/>
      <c r="T812" s="11"/>
      <c r="U812" s="15"/>
      <c r="V812" s="11"/>
      <c r="W812" s="11"/>
      <c r="X812" s="11"/>
      <c r="Y812" s="11"/>
      <c r="Z812" s="11"/>
    </row>
    <row r="813">
      <c r="A813" s="18"/>
      <c r="B813" s="11"/>
      <c r="C813" s="11"/>
      <c r="D813" s="11"/>
      <c r="E813" s="11"/>
      <c r="F813" s="11"/>
      <c r="G813" s="11"/>
      <c r="H813" s="11"/>
      <c r="I813" s="11"/>
      <c r="J813" s="11"/>
      <c r="K813" s="11"/>
      <c r="L813" s="15"/>
      <c r="M813" s="15"/>
      <c r="N813" s="15"/>
      <c r="O813" s="15"/>
      <c r="P813" s="15"/>
      <c r="Q813" s="11"/>
      <c r="R813" s="11"/>
      <c r="S813" s="11"/>
      <c r="T813" s="11"/>
      <c r="U813" s="15"/>
      <c r="V813" s="11"/>
      <c r="W813" s="11"/>
      <c r="X813" s="11"/>
      <c r="Y813" s="11"/>
      <c r="Z813" s="11"/>
    </row>
    <row r="814">
      <c r="A814" s="18"/>
      <c r="B814" s="11"/>
      <c r="C814" s="11"/>
      <c r="D814" s="11"/>
      <c r="E814" s="11"/>
      <c r="F814" s="11"/>
      <c r="G814" s="11"/>
      <c r="H814" s="11"/>
      <c r="I814" s="11"/>
      <c r="J814" s="11"/>
      <c r="K814" s="11"/>
      <c r="L814" s="15"/>
      <c r="M814" s="15"/>
      <c r="N814" s="15"/>
      <c r="O814" s="15"/>
      <c r="P814" s="15"/>
      <c r="Q814" s="11"/>
      <c r="R814" s="11"/>
      <c r="S814" s="11"/>
      <c r="T814" s="11"/>
      <c r="U814" s="15"/>
      <c r="V814" s="11"/>
      <c r="W814" s="11"/>
      <c r="X814" s="11"/>
      <c r="Y814" s="11"/>
      <c r="Z814" s="11"/>
    </row>
    <row r="815">
      <c r="A815" s="18"/>
      <c r="B815" s="11"/>
      <c r="C815" s="11"/>
      <c r="D815" s="11"/>
      <c r="E815" s="11"/>
      <c r="F815" s="11"/>
      <c r="G815" s="11"/>
      <c r="H815" s="11"/>
      <c r="I815" s="11"/>
      <c r="J815" s="11"/>
      <c r="K815" s="11"/>
      <c r="L815" s="15"/>
      <c r="M815" s="15"/>
      <c r="N815" s="15"/>
      <c r="O815" s="15"/>
      <c r="P815" s="15"/>
      <c r="Q815" s="11"/>
      <c r="R815" s="11"/>
      <c r="S815" s="11"/>
      <c r="T815" s="11"/>
      <c r="U815" s="15"/>
      <c r="V815" s="11"/>
      <c r="W815" s="11"/>
      <c r="X815" s="11"/>
      <c r="Y815" s="11"/>
      <c r="Z815" s="11"/>
    </row>
    <row r="816">
      <c r="A816" s="18"/>
      <c r="B816" s="11"/>
      <c r="C816" s="11"/>
      <c r="D816" s="11"/>
      <c r="E816" s="11"/>
      <c r="F816" s="11"/>
      <c r="G816" s="11"/>
      <c r="H816" s="11"/>
      <c r="I816" s="11"/>
      <c r="J816" s="11"/>
      <c r="K816" s="11"/>
      <c r="L816" s="15"/>
      <c r="M816" s="15"/>
      <c r="N816" s="15"/>
      <c r="O816" s="15"/>
      <c r="P816" s="15"/>
      <c r="Q816" s="11"/>
      <c r="R816" s="11"/>
      <c r="S816" s="11"/>
      <c r="T816" s="11"/>
      <c r="U816" s="15"/>
      <c r="V816" s="11"/>
      <c r="W816" s="11"/>
      <c r="X816" s="11"/>
      <c r="Y816" s="11"/>
      <c r="Z816" s="11"/>
    </row>
    <row r="817">
      <c r="A817" s="18"/>
      <c r="B817" s="11"/>
      <c r="C817" s="11"/>
      <c r="D817" s="11"/>
      <c r="E817" s="11"/>
      <c r="F817" s="11"/>
      <c r="G817" s="11"/>
      <c r="H817" s="11"/>
      <c r="I817" s="11"/>
      <c r="J817" s="11"/>
      <c r="K817" s="11"/>
      <c r="L817" s="15"/>
      <c r="M817" s="15"/>
      <c r="N817" s="15"/>
      <c r="O817" s="15"/>
      <c r="P817" s="15"/>
      <c r="Q817" s="11"/>
      <c r="R817" s="11"/>
      <c r="S817" s="11"/>
      <c r="T817" s="11"/>
      <c r="U817" s="15"/>
      <c r="V817" s="11"/>
      <c r="W817" s="11"/>
      <c r="X817" s="11"/>
      <c r="Y817" s="11"/>
      <c r="Z817" s="11"/>
    </row>
    <row r="818">
      <c r="A818" s="18"/>
      <c r="B818" s="11"/>
      <c r="C818" s="11"/>
      <c r="D818" s="11"/>
      <c r="E818" s="11"/>
      <c r="F818" s="11"/>
      <c r="G818" s="11"/>
      <c r="H818" s="11"/>
      <c r="I818" s="11"/>
      <c r="J818" s="11"/>
      <c r="K818" s="11"/>
      <c r="L818" s="15"/>
      <c r="M818" s="15"/>
      <c r="N818" s="15"/>
      <c r="O818" s="15"/>
      <c r="P818" s="15"/>
      <c r="Q818" s="11"/>
      <c r="R818" s="11"/>
      <c r="S818" s="11"/>
      <c r="T818" s="11"/>
      <c r="U818" s="15"/>
      <c r="V818" s="11"/>
      <c r="W818" s="11"/>
      <c r="X818" s="11"/>
      <c r="Y818" s="11"/>
      <c r="Z818" s="11"/>
    </row>
    <row r="819">
      <c r="A819" s="18"/>
      <c r="B819" s="11"/>
      <c r="C819" s="11"/>
      <c r="D819" s="11"/>
      <c r="E819" s="11"/>
      <c r="F819" s="11"/>
      <c r="G819" s="11"/>
      <c r="H819" s="11"/>
      <c r="I819" s="11"/>
      <c r="J819" s="11"/>
      <c r="K819" s="11"/>
      <c r="L819" s="15"/>
      <c r="M819" s="15"/>
      <c r="N819" s="15"/>
      <c r="O819" s="15"/>
      <c r="P819" s="15"/>
      <c r="Q819" s="11"/>
      <c r="R819" s="11"/>
      <c r="S819" s="11"/>
      <c r="T819" s="11"/>
      <c r="U819" s="15"/>
      <c r="V819" s="11"/>
      <c r="W819" s="11"/>
      <c r="X819" s="11"/>
      <c r="Y819" s="11"/>
      <c r="Z819" s="11"/>
    </row>
    <row r="820">
      <c r="A820" s="18"/>
      <c r="B820" s="11"/>
      <c r="C820" s="11"/>
      <c r="D820" s="11"/>
      <c r="E820" s="11"/>
      <c r="F820" s="11"/>
      <c r="G820" s="11"/>
      <c r="H820" s="11"/>
      <c r="I820" s="11"/>
      <c r="J820" s="11"/>
      <c r="K820" s="11"/>
      <c r="L820" s="15"/>
      <c r="M820" s="15"/>
      <c r="N820" s="15"/>
      <c r="O820" s="15"/>
      <c r="P820" s="15"/>
      <c r="Q820" s="11"/>
      <c r="R820" s="11"/>
      <c r="S820" s="11"/>
      <c r="T820" s="11"/>
      <c r="U820" s="15"/>
      <c r="V820" s="11"/>
      <c r="W820" s="11"/>
      <c r="X820" s="11"/>
      <c r="Y820" s="11"/>
      <c r="Z820" s="11"/>
    </row>
    <row r="821">
      <c r="A821" s="18"/>
      <c r="B821" s="11"/>
      <c r="C821" s="11"/>
      <c r="D821" s="11"/>
      <c r="E821" s="11"/>
      <c r="F821" s="11"/>
      <c r="G821" s="11"/>
      <c r="H821" s="11"/>
      <c r="I821" s="11"/>
      <c r="J821" s="11"/>
      <c r="K821" s="11"/>
      <c r="L821" s="15"/>
      <c r="M821" s="15"/>
      <c r="N821" s="15"/>
      <c r="O821" s="15"/>
      <c r="P821" s="15"/>
      <c r="Q821" s="11"/>
      <c r="R821" s="11"/>
      <c r="S821" s="11"/>
      <c r="T821" s="11"/>
      <c r="U821" s="15"/>
      <c r="V821" s="11"/>
      <c r="W821" s="11"/>
      <c r="X821" s="11"/>
      <c r="Y821" s="11"/>
      <c r="Z821" s="11"/>
    </row>
    <row r="822">
      <c r="A822" s="18"/>
      <c r="B822" s="11"/>
      <c r="C822" s="11"/>
      <c r="D822" s="11"/>
      <c r="E822" s="11"/>
      <c r="F822" s="11"/>
      <c r="G822" s="11"/>
      <c r="H822" s="11"/>
      <c r="I822" s="11"/>
      <c r="J822" s="11"/>
      <c r="K822" s="11"/>
      <c r="L822" s="15"/>
      <c r="M822" s="15"/>
      <c r="N822" s="15"/>
      <c r="O822" s="15"/>
      <c r="P822" s="15"/>
      <c r="Q822" s="11"/>
      <c r="R822" s="11"/>
      <c r="S822" s="11"/>
      <c r="T822" s="11"/>
      <c r="U822" s="15"/>
      <c r="V822" s="11"/>
      <c r="W822" s="11"/>
      <c r="X822" s="11"/>
      <c r="Y822" s="11"/>
      <c r="Z822" s="11"/>
    </row>
    <row r="823">
      <c r="A823" s="18"/>
      <c r="B823" s="11"/>
      <c r="C823" s="11"/>
      <c r="D823" s="11"/>
      <c r="E823" s="11"/>
      <c r="F823" s="11"/>
      <c r="G823" s="11"/>
      <c r="H823" s="11"/>
      <c r="I823" s="11"/>
      <c r="J823" s="11"/>
      <c r="K823" s="11"/>
      <c r="L823" s="15"/>
      <c r="M823" s="15"/>
      <c r="N823" s="15"/>
      <c r="O823" s="15"/>
      <c r="P823" s="15"/>
      <c r="Q823" s="11"/>
      <c r="R823" s="11"/>
      <c r="S823" s="11"/>
      <c r="T823" s="11"/>
      <c r="U823" s="15"/>
      <c r="V823" s="11"/>
      <c r="W823" s="11"/>
      <c r="X823" s="11"/>
      <c r="Y823" s="11"/>
      <c r="Z823" s="11"/>
    </row>
    <row r="824">
      <c r="A824" s="18"/>
      <c r="B824" s="11"/>
      <c r="C824" s="11"/>
      <c r="D824" s="11"/>
      <c r="E824" s="11"/>
      <c r="F824" s="11"/>
      <c r="G824" s="11"/>
      <c r="H824" s="11"/>
      <c r="I824" s="11"/>
      <c r="J824" s="11"/>
      <c r="K824" s="11"/>
      <c r="L824" s="15"/>
      <c r="M824" s="15"/>
      <c r="N824" s="15"/>
      <c r="O824" s="15"/>
      <c r="P824" s="15"/>
      <c r="Q824" s="11"/>
      <c r="R824" s="11"/>
      <c r="S824" s="11"/>
      <c r="T824" s="11"/>
      <c r="U824" s="15"/>
      <c r="V824" s="11"/>
      <c r="W824" s="11"/>
      <c r="X824" s="11"/>
      <c r="Y824" s="11"/>
      <c r="Z824" s="11"/>
    </row>
    <row r="825">
      <c r="A825" s="18"/>
      <c r="B825" s="11"/>
      <c r="C825" s="11"/>
      <c r="D825" s="11"/>
      <c r="E825" s="11"/>
      <c r="F825" s="11"/>
      <c r="G825" s="11"/>
      <c r="H825" s="11"/>
      <c r="I825" s="11"/>
      <c r="J825" s="11"/>
      <c r="K825" s="11"/>
      <c r="L825" s="15"/>
      <c r="M825" s="15"/>
      <c r="N825" s="15"/>
      <c r="O825" s="15"/>
      <c r="P825" s="15"/>
      <c r="Q825" s="11"/>
      <c r="R825" s="11"/>
      <c r="S825" s="11"/>
      <c r="T825" s="11"/>
      <c r="U825" s="15"/>
      <c r="V825" s="11"/>
      <c r="W825" s="11"/>
      <c r="X825" s="11"/>
      <c r="Y825" s="11"/>
      <c r="Z825" s="11"/>
    </row>
    <row r="826">
      <c r="A826" s="18"/>
      <c r="B826" s="11"/>
      <c r="C826" s="11"/>
      <c r="D826" s="11"/>
      <c r="E826" s="11"/>
      <c r="F826" s="11"/>
      <c r="G826" s="11"/>
      <c r="H826" s="11"/>
      <c r="I826" s="11"/>
      <c r="J826" s="11"/>
      <c r="K826" s="11"/>
      <c r="L826" s="15"/>
      <c r="M826" s="15"/>
      <c r="N826" s="15"/>
      <c r="O826" s="15"/>
      <c r="P826" s="15"/>
      <c r="Q826" s="11"/>
      <c r="R826" s="11"/>
      <c r="S826" s="11"/>
      <c r="T826" s="11"/>
      <c r="U826" s="15"/>
      <c r="V826" s="11"/>
      <c r="W826" s="11"/>
      <c r="X826" s="11"/>
      <c r="Y826" s="11"/>
      <c r="Z826" s="11"/>
    </row>
    <row r="827">
      <c r="A827" s="18"/>
      <c r="B827" s="11"/>
      <c r="C827" s="11"/>
      <c r="D827" s="11"/>
      <c r="E827" s="11"/>
      <c r="F827" s="11"/>
      <c r="G827" s="11"/>
      <c r="H827" s="11"/>
      <c r="I827" s="11"/>
      <c r="J827" s="11"/>
      <c r="K827" s="11"/>
      <c r="L827" s="15"/>
      <c r="M827" s="15"/>
      <c r="N827" s="15"/>
      <c r="O827" s="15"/>
      <c r="P827" s="15"/>
      <c r="Q827" s="11"/>
      <c r="R827" s="11"/>
      <c r="S827" s="11"/>
      <c r="T827" s="11"/>
      <c r="U827" s="15"/>
      <c r="V827" s="11"/>
      <c r="W827" s="11"/>
      <c r="X827" s="11"/>
      <c r="Y827" s="11"/>
      <c r="Z827" s="11"/>
    </row>
    <row r="828">
      <c r="A828" s="18"/>
      <c r="B828" s="11"/>
      <c r="C828" s="11"/>
      <c r="D828" s="11"/>
      <c r="E828" s="11"/>
      <c r="F828" s="11"/>
      <c r="G828" s="11"/>
      <c r="H828" s="11"/>
      <c r="I828" s="11"/>
      <c r="J828" s="11"/>
      <c r="K828" s="11"/>
      <c r="L828" s="15"/>
      <c r="M828" s="15"/>
      <c r="N828" s="15"/>
      <c r="O828" s="15"/>
      <c r="P828" s="15"/>
      <c r="Q828" s="11"/>
      <c r="R828" s="11"/>
      <c r="S828" s="11"/>
      <c r="T828" s="11"/>
      <c r="U828" s="15"/>
      <c r="V828" s="11"/>
      <c r="W828" s="11"/>
      <c r="X828" s="11"/>
      <c r="Y828" s="11"/>
      <c r="Z828" s="11"/>
    </row>
    <row r="829">
      <c r="A829" s="18"/>
      <c r="B829" s="11"/>
      <c r="C829" s="11"/>
      <c r="D829" s="11"/>
      <c r="E829" s="11"/>
      <c r="F829" s="11"/>
      <c r="G829" s="11"/>
      <c r="H829" s="11"/>
      <c r="I829" s="11"/>
      <c r="J829" s="11"/>
      <c r="K829" s="11"/>
      <c r="L829" s="15"/>
      <c r="M829" s="15"/>
      <c r="N829" s="15"/>
      <c r="O829" s="15"/>
      <c r="P829" s="15"/>
      <c r="Q829" s="11"/>
      <c r="R829" s="11"/>
      <c r="S829" s="11"/>
      <c r="T829" s="11"/>
      <c r="U829" s="15"/>
      <c r="V829" s="11"/>
      <c r="W829" s="11"/>
      <c r="X829" s="11"/>
      <c r="Y829" s="11"/>
      <c r="Z829" s="11"/>
    </row>
    <row r="830">
      <c r="A830" s="18"/>
      <c r="B830" s="11"/>
      <c r="C830" s="11"/>
      <c r="D830" s="11"/>
      <c r="E830" s="11"/>
      <c r="F830" s="11"/>
      <c r="G830" s="11"/>
      <c r="H830" s="11"/>
      <c r="I830" s="11"/>
      <c r="J830" s="11"/>
      <c r="K830" s="11"/>
      <c r="L830" s="15"/>
      <c r="M830" s="15"/>
      <c r="N830" s="15"/>
      <c r="O830" s="15"/>
      <c r="P830" s="15"/>
      <c r="Q830" s="11"/>
      <c r="R830" s="11"/>
      <c r="S830" s="11"/>
      <c r="T830" s="11"/>
      <c r="U830" s="15"/>
      <c r="V830" s="11"/>
      <c r="W830" s="11"/>
      <c r="X830" s="11"/>
      <c r="Y830" s="11"/>
      <c r="Z830" s="11"/>
    </row>
    <row r="831">
      <c r="A831" s="18"/>
      <c r="B831" s="11"/>
      <c r="C831" s="11"/>
      <c r="D831" s="11"/>
      <c r="E831" s="11"/>
      <c r="F831" s="11"/>
      <c r="G831" s="11"/>
      <c r="H831" s="11"/>
      <c r="I831" s="11"/>
      <c r="J831" s="11"/>
      <c r="K831" s="11"/>
      <c r="L831" s="15"/>
      <c r="M831" s="15"/>
      <c r="N831" s="15"/>
      <c r="O831" s="15"/>
      <c r="P831" s="15"/>
      <c r="Q831" s="11"/>
      <c r="R831" s="11"/>
      <c r="S831" s="11"/>
      <c r="T831" s="11"/>
      <c r="U831" s="15"/>
      <c r="V831" s="11"/>
      <c r="W831" s="11"/>
      <c r="X831" s="11"/>
      <c r="Y831" s="11"/>
      <c r="Z831" s="11"/>
    </row>
    <row r="832">
      <c r="A832" s="18"/>
      <c r="B832" s="11"/>
      <c r="C832" s="11"/>
      <c r="D832" s="11"/>
      <c r="E832" s="11"/>
      <c r="F832" s="11"/>
      <c r="G832" s="11"/>
      <c r="H832" s="11"/>
      <c r="I832" s="11"/>
      <c r="J832" s="11"/>
      <c r="K832" s="11"/>
      <c r="L832" s="15"/>
      <c r="M832" s="15"/>
      <c r="N832" s="15"/>
      <c r="O832" s="15"/>
      <c r="P832" s="15"/>
      <c r="Q832" s="11"/>
      <c r="R832" s="11"/>
      <c r="S832" s="11"/>
      <c r="T832" s="11"/>
      <c r="U832" s="15"/>
      <c r="V832" s="11"/>
      <c r="W832" s="11"/>
      <c r="X832" s="11"/>
      <c r="Y832" s="11"/>
      <c r="Z832" s="11"/>
    </row>
    <row r="833">
      <c r="A833" s="18"/>
      <c r="B833" s="11"/>
      <c r="C833" s="11"/>
      <c r="D833" s="11"/>
      <c r="E833" s="11"/>
      <c r="F833" s="11"/>
      <c r="G833" s="11"/>
      <c r="H833" s="11"/>
      <c r="I833" s="11"/>
      <c r="J833" s="11"/>
      <c r="K833" s="11"/>
      <c r="L833" s="15"/>
      <c r="M833" s="15"/>
      <c r="N833" s="15"/>
      <c r="O833" s="15"/>
      <c r="P833" s="15"/>
      <c r="Q833" s="11"/>
      <c r="R833" s="11"/>
      <c r="S833" s="11"/>
      <c r="T833" s="11"/>
      <c r="U833" s="15"/>
      <c r="V833" s="11"/>
      <c r="W833" s="11"/>
      <c r="X833" s="11"/>
      <c r="Y833" s="11"/>
      <c r="Z833" s="11"/>
    </row>
    <row r="834">
      <c r="A834" s="18"/>
      <c r="B834" s="11"/>
      <c r="C834" s="11"/>
      <c r="D834" s="11"/>
      <c r="E834" s="11"/>
      <c r="F834" s="11"/>
      <c r="G834" s="11"/>
      <c r="H834" s="11"/>
      <c r="I834" s="11"/>
      <c r="J834" s="11"/>
      <c r="K834" s="11"/>
      <c r="L834" s="15"/>
      <c r="M834" s="15"/>
      <c r="N834" s="15"/>
      <c r="O834" s="15"/>
      <c r="P834" s="15"/>
      <c r="Q834" s="11"/>
      <c r="R834" s="11"/>
      <c r="S834" s="11"/>
      <c r="T834" s="11"/>
      <c r="U834" s="15"/>
      <c r="V834" s="11"/>
      <c r="W834" s="11"/>
      <c r="X834" s="11"/>
      <c r="Y834" s="11"/>
      <c r="Z834" s="11"/>
    </row>
    <row r="835">
      <c r="A835" s="18"/>
      <c r="B835" s="11"/>
      <c r="C835" s="11"/>
      <c r="D835" s="11"/>
      <c r="E835" s="11"/>
      <c r="F835" s="11"/>
      <c r="G835" s="11"/>
      <c r="H835" s="11"/>
      <c r="I835" s="11"/>
      <c r="J835" s="11"/>
      <c r="K835" s="11"/>
      <c r="L835" s="15"/>
      <c r="M835" s="15"/>
      <c r="N835" s="15"/>
      <c r="O835" s="15"/>
      <c r="P835" s="15"/>
      <c r="Q835" s="11"/>
      <c r="R835" s="11"/>
      <c r="S835" s="11"/>
      <c r="T835" s="11"/>
      <c r="U835" s="15"/>
      <c r="V835" s="11"/>
      <c r="W835" s="11"/>
      <c r="X835" s="11"/>
      <c r="Y835" s="11"/>
      <c r="Z835" s="11"/>
    </row>
    <row r="836">
      <c r="A836" s="18"/>
      <c r="B836" s="11"/>
      <c r="C836" s="11"/>
      <c r="D836" s="11"/>
      <c r="E836" s="11"/>
      <c r="F836" s="11"/>
      <c r="G836" s="11"/>
      <c r="H836" s="11"/>
      <c r="I836" s="11"/>
      <c r="J836" s="11"/>
      <c r="K836" s="11"/>
      <c r="L836" s="15"/>
      <c r="M836" s="15"/>
      <c r="N836" s="15"/>
      <c r="O836" s="15"/>
      <c r="P836" s="15"/>
      <c r="Q836" s="11"/>
      <c r="R836" s="11"/>
      <c r="S836" s="11"/>
      <c r="T836" s="11"/>
      <c r="U836" s="15"/>
      <c r="V836" s="11"/>
      <c r="W836" s="11"/>
      <c r="X836" s="11"/>
      <c r="Y836" s="11"/>
      <c r="Z836" s="11"/>
    </row>
    <row r="837">
      <c r="A837" s="18"/>
      <c r="B837" s="11"/>
      <c r="C837" s="11"/>
      <c r="D837" s="11"/>
      <c r="E837" s="11"/>
      <c r="F837" s="11"/>
      <c r="G837" s="11"/>
      <c r="H837" s="11"/>
      <c r="I837" s="11"/>
      <c r="J837" s="11"/>
      <c r="K837" s="11"/>
      <c r="L837" s="15"/>
      <c r="M837" s="15"/>
      <c r="N837" s="15"/>
      <c r="O837" s="15"/>
      <c r="P837" s="15"/>
      <c r="Q837" s="11"/>
      <c r="R837" s="11"/>
      <c r="S837" s="11"/>
      <c r="T837" s="11"/>
      <c r="U837" s="15"/>
      <c r="V837" s="11"/>
      <c r="W837" s="11"/>
      <c r="X837" s="11"/>
      <c r="Y837" s="11"/>
      <c r="Z837" s="11"/>
    </row>
    <row r="838">
      <c r="A838" s="18"/>
      <c r="B838" s="11"/>
      <c r="C838" s="11"/>
      <c r="D838" s="11"/>
      <c r="E838" s="11"/>
      <c r="F838" s="11"/>
      <c r="G838" s="11"/>
      <c r="H838" s="11"/>
      <c r="I838" s="11"/>
      <c r="J838" s="11"/>
      <c r="K838" s="11"/>
      <c r="L838" s="15"/>
      <c r="M838" s="15"/>
      <c r="N838" s="15"/>
      <c r="O838" s="15"/>
      <c r="P838" s="15"/>
      <c r="Q838" s="11"/>
      <c r="R838" s="11"/>
      <c r="S838" s="11"/>
      <c r="T838" s="11"/>
      <c r="U838" s="15"/>
      <c r="V838" s="11"/>
      <c r="W838" s="11"/>
      <c r="X838" s="11"/>
      <c r="Y838" s="11"/>
      <c r="Z838" s="11"/>
    </row>
    <row r="839">
      <c r="A839" s="18"/>
      <c r="B839" s="11"/>
      <c r="C839" s="11"/>
      <c r="D839" s="11"/>
      <c r="E839" s="11"/>
      <c r="F839" s="11"/>
      <c r="G839" s="11"/>
      <c r="H839" s="11"/>
      <c r="I839" s="11"/>
      <c r="J839" s="11"/>
      <c r="K839" s="11"/>
      <c r="L839" s="15"/>
      <c r="M839" s="15"/>
      <c r="N839" s="15"/>
      <c r="O839" s="15"/>
      <c r="P839" s="15"/>
      <c r="Q839" s="11"/>
      <c r="R839" s="11"/>
      <c r="S839" s="11"/>
      <c r="T839" s="11"/>
      <c r="U839" s="15"/>
      <c r="V839" s="11"/>
      <c r="W839" s="11"/>
      <c r="X839" s="11"/>
      <c r="Y839" s="11"/>
      <c r="Z839" s="11"/>
    </row>
    <row r="840">
      <c r="A840" s="18"/>
      <c r="B840" s="11"/>
      <c r="C840" s="11"/>
      <c r="D840" s="11"/>
      <c r="E840" s="11"/>
      <c r="F840" s="11"/>
      <c r="G840" s="11"/>
      <c r="H840" s="11"/>
      <c r="I840" s="11"/>
      <c r="J840" s="11"/>
      <c r="K840" s="11"/>
      <c r="L840" s="15"/>
      <c r="M840" s="15"/>
      <c r="N840" s="15"/>
      <c r="O840" s="15"/>
      <c r="P840" s="15"/>
      <c r="Q840" s="11"/>
      <c r="R840" s="11"/>
      <c r="S840" s="11"/>
      <c r="T840" s="11"/>
      <c r="U840" s="15"/>
      <c r="V840" s="11"/>
      <c r="W840" s="11"/>
      <c r="X840" s="11"/>
      <c r="Y840" s="11"/>
      <c r="Z840" s="11"/>
    </row>
    <row r="841">
      <c r="A841" s="18"/>
      <c r="B841" s="11"/>
      <c r="C841" s="11"/>
      <c r="D841" s="11"/>
      <c r="E841" s="11"/>
      <c r="F841" s="11"/>
      <c r="G841" s="11"/>
      <c r="H841" s="11"/>
      <c r="I841" s="11"/>
      <c r="J841" s="11"/>
      <c r="K841" s="11"/>
      <c r="L841" s="15"/>
      <c r="M841" s="15"/>
      <c r="N841" s="15"/>
      <c r="O841" s="15"/>
      <c r="P841" s="15"/>
      <c r="Q841" s="11"/>
      <c r="R841" s="11"/>
      <c r="S841" s="11"/>
      <c r="T841" s="11"/>
      <c r="U841" s="15"/>
      <c r="V841" s="11"/>
      <c r="W841" s="11"/>
      <c r="X841" s="11"/>
      <c r="Y841" s="11"/>
      <c r="Z841" s="11"/>
    </row>
    <row r="842">
      <c r="A842" s="18"/>
      <c r="B842" s="11"/>
      <c r="C842" s="11"/>
      <c r="D842" s="11"/>
      <c r="E842" s="11"/>
      <c r="F842" s="11"/>
      <c r="G842" s="11"/>
      <c r="H842" s="11"/>
      <c r="I842" s="11"/>
      <c r="J842" s="11"/>
      <c r="K842" s="11"/>
      <c r="L842" s="15"/>
      <c r="M842" s="15"/>
      <c r="N842" s="15"/>
      <c r="O842" s="15"/>
      <c r="P842" s="15"/>
      <c r="Q842" s="11"/>
      <c r="R842" s="11"/>
      <c r="S842" s="11"/>
      <c r="T842" s="11"/>
      <c r="U842" s="15"/>
      <c r="V842" s="11"/>
      <c r="W842" s="11"/>
      <c r="X842" s="11"/>
      <c r="Y842" s="11"/>
      <c r="Z842" s="11"/>
    </row>
    <row r="843">
      <c r="A843" s="18"/>
      <c r="B843" s="11"/>
      <c r="C843" s="11"/>
      <c r="D843" s="11"/>
      <c r="E843" s="11"/>
      <c r="F843" s="11"/>
      <c r="G843" s="11"/>
      <c r="H843" s="11"/>
      <c r="I843" s="11"/>
      <c r="J843" s="11"/>
      <c r="K843" s="11"/>
      <c r="L843" s="15"/>
      <c r="M843" s="15"/>
      <c r="N843" s="15"/>
      <c r="O843" s="15"/>
      <c r="P843" s="15"/>
      <c r="Q843" s="11"/>
      <c r="R843" s="11"/>
      <c r="S843" s="11"/>
      <c r="T843" s="11"/>
      <c r="U843" s="15"/>
      <c r="V843" s="11"/>
      <c r="W843" s="11"/>
      <c r="X843" s="11"/>
      <c r="Y843" s="11"/>
      <c r="Z843" s="11"/>
    </row>
    <row r="844">
      <c r="A844" s="18"/>
      <c r="B844" s="11"/>
      <c r="C844" s="11"/>
      <c r="D844" s="11"/>
      <c r="E844" s="11"/>
      <c r="F844" s="11"/>
      <c r="G844" s="11"/>
      <c r="H844" s="11"/>
      <c r="I844" s="11"/>
      <c r="J844" s="11"/>
      <c r="K844" s="11"/>
      <c r="L844" s="15"/>
      <c r="M844" s="15"/>
      <c r="N844" s="15"/>
      <c r="O844" s="15"/>
      <c r="P844" s="15"/>
      <c r="Q844" s="11"/>
      <c r="R844" s="11"/>
      <c r="S844" s="11"/>
      <c r="T844" s="11"/>
      <c r="U844" s="15"/>
      <c r="V844" s="11"/>
      <c r="W844" s="11"/>
      <c r="X844" s="11"/>
      <c r="Y844" s="11"/>
      <c r="Z844" s="11"/>
    </row>
    <row r="845">
      <c r="A845" s="18"/>
      <c r="B845" s="11"/>
      <c r="C845" s="11"/>
      <c r="D845" s="11"/>
      <c r="E845" s="11"/>
      <c r="F845" s="11"/>
      <c r="G845" s="11"/>
      <c r="H845" s="11"/>
      <c r="I845" s="11"/>
      <c r="J845" s="11"/>
      <c r="K845" s="11"/>
      <c r="L845" s="15"/>
      <c r="M845" s="15"/>
      <c r="N845" s="15"/>
      <c r="O845" s="15"/>
      <c r="P845" s="15"/>
      <c r="Q845" s="11"/>
      <c r="R845" s="11"/>
      <c r="S845" s="11"/>
      <c r="T845" s="11"/>
      <c r="U845" s="15"/>
      <c r="V845" s="11"/>
      <c r="W845" s="11"/>
      <c r="X845" s="11"/>
      <c r="Y845" s="11"/>
      <c r="Z845" s="11"/>
    </row>
    <row r="846">
      <c r="A846" s="18"/>
      <c r="B846" s="11"/>
      <c r="C846" s="11"/>
      <c r="D846" s="11"/>
      <c r="E846" s="11"/>
      <c r="F846" s="11"/>
      <c r="G846" s="11"/>
      <c r="H846" s="11"/>
      <c r="I846" s="11"/>
      <c r="J846" s="11"/>
      <c r="K846" s="11"/>
      <c r="L846" s="15"/>
      <c r="M846" s="15"/>
      <c r="N846" s="15"/>
      <c r="O846" s="15"/>
      <c r="P846" s="15"/>
      <c r="Q846" s="11"/>
      <c r="R846" s="11"/>
      <c r="S846" s="11"/>
      <c r="T846" s="11"/>
      <c r="U846" s="15"/>
      <c r="V846" s="11"/>
      <c r="W846" s="11"/>
      <c r="X846" s="11"/>
      <c r="Y846" s="11"/>
      <c r="Z846" s="11"/>
    </row>
    <row r="847">
      <c r="A847" s="18"/>
      <c r="B847" s="11"/>
      <c r="C847" s="11"/>
      <c r="D847" s="11"/>
      <c r="E847" s="11"/>
      <c r="F847" s="11"/>
      <c r="G847" s="11"/>
      <c r="H847" s="11"/>
      <c r="I847" s="11"/>
      <c r="J847" s="11"/>
      <c r="K847" s="11"/>
      <c r="L847" s="15"/>
      <c r="M847" s="15"/>
      <c r="N847" s="15"/>
      <c r="O847" s="15"/>
      <c r="P847" s="15"/>
      <c r="Q847" s="11"/>
      <c r="R847" s="11"/>
      <c r="S847" s="11"/>
      <c r="T847" s="11"/>
      <c r="U847" s="15"/>
      <c r="V847" s="11"/>
      <c r="W847" s="11"/>
      <c r="X847" s="11"/>
      <c r="Y847" s="11"/>
      <c r="Z847" s="11"/>
    </row>
    <row r="848">
      <c r="A848" s="18"/>
      <c r="B848" s="11"/>
      <c r="C848" s="11"/>
      <c r="D848" s="11"/>
      <c r="E848" s="11"/>
      <c r="F848" s="11"/>
      <c r="G848" s="11"/>
      <c r="H848" s="11"/>
      <c r="I848" s="11"/>
      <c r="J848" s="11"/>
      <c r="K848" s="11"/>
      <c r="L848" s="15"/>
      <c r="M848" s="15"/>
      <c r="N848" s="15"/>
      <c r="O848" s="15"/>
      <c r="P848" s="15"/>
      <c r="Q848" s="11"/>
      <c r="R848" s="11"/>
      <c r="S848" s="11"/>
      <c r="T848" s="11"/>
      <c r="U848" s="15"/>
      <c r="V848" s="11"/>
      <c r="W848" s="11"/>
      <c r="X848" s="11"/>
      <c r="Y848" s="11"/>
      <c r="Z848" s="11"/>
    </row>
    <row r="849">
      <c r="A849" s="18"/>
      <c r="B849" s="11"/>
      <c r="C849" s="11"/>
      <c r="D849" s="11"/>
      <c r="E849" s="11"/>
      <c r="F849" s="11"/>
      <c r="G849" s="11"/>
      <c r="H849" s="11"/>
      <c r="I849" s="11"/>
      <c r="J849" s="11"/>
      <c r="K849" s="11"/>
      <c r="L849" s="15"/>
      <c r="M849" s="15"/>
      <c r="N849" s="15"/>
      <c r="O849" s="15"/>
      <c r="P849" s="15"/>
      <c r="Q849" s="11"/>
      <c r="R849" s="11"/>
      <c r="S849" s="11"/>
      <c r="T849" s="11"/>
      <c r="U849" s="15"/>
      <c r="V849" s="11"/>
      <c r="W849" s="11"/>
      <c r="X849" s="11"/>
      <c r="Y849" s="11"/>
      <c r="Z849" s="11"/>
    </row>
    <row r="850">
      <c r="A850" s="18"/>
      <c r="B850" s="11"/>
      <c r="C850" s="11"/>
      <c r="D850" s="11"/>
      <c r="E850" s="11"/>
      <c r="F850" s="11"/>
      <c r="G850" s="11"/>
      <c r="H850" s="11"/>
      <c r="I850" s="11"/>
      <c r="J850" s="11"/>
      <c r="K850" s="11"/>
      <c r="L850" s="15"/>
      <c r="M850" s="15"/>
      <c r="N850" s="15"/>
      <c r="O850" s="15"/>
      <c r="P850" s="15"/>
      <c r="Q850" s="11"/>
      <c r="R850" s="11"/>
      <c r="S850" s="11"/>
      <c r="T850" s="11"/>
      <c r="U850" s="15"/>
      <c r="V850" s="11"/>
      <c r="W850" s="11"/>
      <c r="X850" s="11"/>
      <c r="Y850" s="11"/>
      <c r="Z850" s="11"/>
    </row>
    <row r="851">
      <c r="A851" s="18"/>
      <c r="B851" s="11"/>
      <c r="C851" s="11"/>
      <c r="D851" s="11"/>
      <c r="E851" s="11"/>
      <c r="F851" s="11"/>
      <c r="G851" s="11"/>
      <c r="H851" s="11"/>
      <c r="I851" s="11"/>
      <c r="J851" s="11"/>
      <c r="K851" s="11"/>
      <c r="L851" s="15"/>
      <c r="M851" s="15"/>
      <c r="N851" s="15"/>
      <c r="O851" s="15"/>
      <c r="P851" s="15"/>
      <c r="Q851" s="11"/>
      <c r="R851" s="11"/>
      <c r="S851" s="11"/>
      <c r="T851" s="11"/>
      <c r="U851" s="15"/>
      <c r="V851" s="11"/>
      <c r="W851" s="11"/>
      <c r="X851" s="11"/>
      <c r="Y851" s="11"/>
      <c r="Z851" s="11"/>
    </row>
    <row r="852">
      <c r="A852" s="18"/>
      <c r="B852" s="11"/>
      <c r="C852" s="11"/>
      <c r="D852" s="11"/>
      <c r="E852" s="11"/>
      <c r="F852" s="11"/>
      <c r="G852" s="11"/>
      <c r="H852" s="11"/>
      <c r="I852" s="11"/>
      <c r="J852" s="11"/>
      <c r="K852" s="11"/>
      <c r="L852" s="15"/>
      <c r="M852" s="15"/>
      <c r="N852" s="15"/>
      <c r="O852" s="15"/>
      <c r="P852" s="15"/>
      <c r="Q852" s="11"/>
      <c r="R852" s="11"/>
      <c r="S852" s="11"/>
      <c r="T852" s="11"/>
      <c r="U852" s="15"/>
      <c r="V852" s="11"/>
      <c r="W852" s="11"/>
      <c r="X852" s="11"/>
      <c r="Y852" s="11"/>
      <c r="Z852" s="11"/>
    </row>
    <row r="853">
      <c r="A853" s="18"/>
      <c r="B853" s="11"/>
      <c r="C853" s="11"/>
      <c r="D853" s="11"/>
      <c r="E853" s="11"/>
      <c r="F853" s="11"/>
      <c r="G853" s="11"/>
      <c r="H853" s="11"/>
      <c r="I853" s="11"/>
      <c r="J853" s="11"/>
      <c r="K853" s="11"/>
      <c r="L853" s="15"/>
      <c r="M853" s="15"/>
      <c r="N853" s="15"/>
      <c r="O853" s="15"/>
      <c r="P853" s="15"/>
      <c r="Q853" s="11"/>
      <c r="R853" s="11"/>
      <c r="S853" s="11"/>
      <c r="T853" s="11"/>
      <c r="U853" s="15"/>
      <c r="V853" s="11"/>
      <c r="W853" s="11"/>
      <c r="X853" s="11"/>
      <c r="Y853" s="11"/>
      <c r="Z853" s="11"/>
    </row>
    <row r="854">
      <c r="A854" s="18"/>
      <c r="B854" s="11"/>
      <c r="C854" s="11"/>
      <c r="D854" s="11"/>
      <c r="E854" s="11"/>
      <c r="F854" s="11"/>
      <c r="G854" s="11"/>
      <c r="H854" s="11"/>
      <c r="I854" s="11"/>
      <c r="J854" s="11"/>
      <c r="K854" s="11"/>
      <c r="L854" s="15"/>
      <c r="M854" s="15"/>
      <c r="N854" s="15"/>
      <c r="O854" s="15"/>
      <c r="P854" s="15"/>
      <c r="Q854" s="11"/>
      <c r="R854" s="11"/>
      <c r="S854" s="11"/>
      <c r="T854" s="11"/>
      <c r="U854" s="15"/>
      <c r="V854" s="11"/>
      <c r="W854" s="11"/>
      <c r="X854" s="11"/>
      <c r="Y854" s="11"/>
      <c r="Z854" s="11"/>
    </row>
    <row r="855">
      <c r="A855" s="18"/>
      <c r="B855" s="11"/>
      <c r="C855" s="11"/>
      <c r="D855" s="11"/>
      <c r="E855" s="11"/>
      <c r="F855" s="11"/>
      <c r="G855" s="11"/>
      <c r="H855" s="11"/>
      <c r="I855" s="11"/>
      <c r="J855" s="11"/>
      <c r="K855" s="11"/>
      <c r="L855" s="15"/>
      <c r="M855" s="15"/>
      <c r="N855" s="15"/>
      <c r="O855" s="15"/>
      <c r="P855" s="15"/>
      <c r="Q855" s="11"/>
      <c r="R855" s="11"/>
      <c r="S855" s="11"/>
      <c r="T855" s="11"/>
      <c r="U855" s="15"/>
      <c r="V855" s="11"/>
      <c r="W855" s="11"/>
      <c r="X855" s="11"/>
      <c r="Y855" s="11"/>
      <c r="Z855" s="11"/>
    </row>
    <row r="856">
      <c r="A856" s="18"/>
      <c r="B856" s="11"/>
      <c r="C856" s="11"/>
      <c r="D856" s="11"/>
      <c r="E856" s="11"/>
      <c r="F856" s="11"/>
      <c r="G856" s="11"/>
      <c r="H856" s="11"/>
      <c r="I856" s="11"/>
      <c r="J856" s="11"/>
      <c r="K856" s="11"/>
      <c r="L856" s="15"/>
      <c r="M856" s="15"/>
      <c r="N856" s="15"/>
      <c r="O856" s="15"/>
      <c r="P856" s="15"/>
      <c r="Q856" s="11"/>
      <c r="R856" s="11"/>
      <c r="S856" s="11"/>
      <c r="T856" s="11"/>
      <c r="U856" s="15"/>
      <c r="V856" s="11"/>
      <c r="W856" s="11"/>
      <c r="X856" s="11"/>
      <c r="Y856" s="11"/>
      <c r="Z856" s="11"/>
    </row>
    <row r="857">
      <c r="A857" s="18"/>
      <c r="B857" s="11"/>
      <c r="C857" s="11"/>
      <c r="D857" s="11"/>
      <c r="E857" s="11"/>
      <c r="F857" s="11"/>
      <c r="G857" s="11"/>
      <c r="H857" s="11"/>
      <c r="I857" s="11"/>
      <c r="J857" s="11"/>
      <c r="K857" s="11"/>
      <c r="L857" s="15"/>
      <c r="M857" s="15"/>
      <c r="N857" s="15"/>
      <c r="O857" s="15"/>
      <c r="P857" s="15"/>
      <c r="Q857" s="11"/>
      <c r="R857" s="11"/>
      <c r="S857" s="11"/>
      <c r="T857" s="11"/>
      <c r="U857" s="15"/>
      <c r="V857" s="11"/>
      <c r="W857" s="11"/>
      <c r="X857" s="11"/>
      <c r="Y857" s="11"/>
      <c r="Z857" s="11"/>
    </row>
    <row r="858">
      <c r="A858" s="18"/>
      <c r="B858" s="11"/>
      <c r="C858" s="11"/>
      <c r="D858" s="11"/>
      <c r="E858" s="11"/>
      <c r="F858" s="11"/>
      <c r="G858" s="11"/>
      <c r="H858" s="11"/>
      <c r="I858" s="11"/>
      <c r="J858" s="11"/>
      <c r="K858" s="11"/>
      <c r="L858" s="15"/>
      <c r="M858" s="15"/>
      <c r="N858" s="15"/>
      <c r="O858" s="15"/>
      <c r="P858" s="15"/>
      <c r="Q858" s="11"/>
      <c r="R858" s="11"/>
      <c r="S858" s="11"/>
      <c r="T858" s="11"/>
      <c r="U858" s="15"/>
      <c r="V858" s="11"/>
      <c r="W858" s="11"/>
      <c r="X858" s="11"/>
      <c r="Y858" s="11"/>
      <c r="Z858" s="11"/>
    </row>
    <row r="859">
      <c r="A859" s="18"/>
      <c r="B859" s="11"/>
      <c r="C859" s="11"/>
      <c r="D859" s="11"/>
      <c r="E859" s="11"/>
      <c r="F859" s="11"/>
      <c r="G859" s="11"/>
      <c r="H859" s="11"/>
      <c r="I859" s="11"/>
      <c r="J859" s="11"/>
      <c r="K859" s="11"/>
      <c r="L859" s="15"/>
      <c r="M859" s="15"/>
      <c r="N859" s="15"/>
      <c r="O859" s="15"/>
      <c r="P859" s="15"/>
      <c r="Q859" s="11"/>
      <c r="R859" s="11"/>
      <c r="S859" s="11"/>
      <c r="T859" s="11"/>
      <c r="U859" s="15"/>
      <c r="V859" s="11"/>
      <c r="W859" s="11"/>
      <c r="X859" s="11"/>
      <c r="Y859" s="11"/>
      <c r="Z859" s="11"/>
    </row>
    <row r="860">
      <c r="A860" s="18"/>
      <c r="B860" s="11"/>
      <c r="C860" s="11"/>
      <c r="D860" s="11"/>
      <c r="E860" s="11"/>
      <c r="F860" s="11"/>
      <c r="G860" s="11"/>
      <c r="H860" s="11"/>
      <c r="I860" s="11"/>
      <c r="J860" s="11"/>
      <c r="K860" s="11"/>
      <c r="L860" s="15"/>
      <c r="M860" s="15"/>
      <c r="N860" s="15"/>
      <c r="O860" s="15"/>
      <c r="P860" s="15"/>
      <c r="Q860" s="11"/>
      <c r="R860" s="11"/>
      <c r="S860" s="11"/>
      <c r="T860" s="11"/>
      <c r="U860" s="15"/>
      <c r="V860" s="11"/>
      <c r="W860" s="11"/>
      <c r="X860" s="11"/>
      <c r="Y860" s="11"/>
      <c r="Z860" s="11"/>
    </row>
    <row r="861">
      <c r="A861" s="18"/>
      <c r="B861" s="11"/>
      <c r="C861" s="11"/>
      <c r="D861" s="11"/>
      <c r="E861" s="11"/>
      <c r="F861" s="11"/>
      <c r="G861" s="11"/>
      <c r="H861" s="11"/>
      <c r="I861" s="11"/>
      <c r="J861" s="11"/>
      <c r="K861" s="11"/>
      <c r="L861" s="15"/>
      <c r="M861" s="15"/>
      <c r="N861" s="15"/>
      <c r="O861" s="15"/>
      <c r="P861" s="15"/>
      <c r="Q861" s="11"/>
      <c r="R861" s="11"/>
      <c r="S861" s="11"/>
      <c r="T861" s="11"/>
      <c r="U861" s="15"/>
      <c r="V861" s="11"/>
      <c r="W861" s="11"/>
      <c r="X861" s="11"/>
      <c r="Y861" s="11"/>
      <c r="Z861" s="11"/>
    </row>
    <row r="862">
      <c r="A862" s="18"/>
      <c r="B862" s="11"/>
      <c r="C862" s="11"/>
      <c r="D862" s="11"/>
      <c r="E862" s="11"/>
      <c r="F862" s="11"/>
      <c r="G862" s="11"/>
      <c r="H862" s="11"/>
      <c r="I862" s="11"/>
      <c r="J862" s="11"/>
      <c r="K862" s="11"/>
      <c r="L862" s="15"/>
      <c r="M862" s="15"/>
      <c r="N862" s="15"/>
      <c r="O862" s="15"/>
      <c r="P862" s="15"/>
      <c r="Q862" s="11"/>
      <c r="R862" s="11"/>
      <c r="S862" s="11"/>
      <c r="T862" s="11"/>
      <c r="U862" s="15"/>
      <c r="V862" s="11"/>
      <c r="W862" s="11"/>
      <c r="X862" s="11"/>
      <c r="Y862" s="11"/>
      <c r="Z862" s="11"/>
    </row>
    <row r="863">
      <c r="A863" s="18"/>
      <c r="B863" s="11"/>
      <c r="C863" s="11"/>
      <c r="D863" s="11"/>
      <c r="E863" s="11"/>
      <c r="F863" s="11"/>
      <c r="G863" s="11"/>
      <c r="H863" s="11"/>
      <c r="I863" s="11"/>
      <c r="J863" s="11"/>
      <c r="K863" s="11"/>
      <c r="L863" s="15"/>
      <c r="M863" s="15"/>
      <c r="N863" s="15"/>
      <c r="O863" s="15"/>
      <c r="P863" s="15"/>
      <c r="Q863" s="11"/>
      <c r="R863" s="11"/>
      <c r="S863" s="11"/>
      <c r="T863" s="11"/>
      <c r="U863" s="15"/>
      <c r="V863" s="11"/>
      <c r="W863" s="11"/>
      <c r="X863" s="11"/>
      <c r="Y863" s="11"/>
      <c r="Z863" s="11"/>
    </row>
    <row r="864">
      <c r="A864" s="18"/>
      <c r="B864" s="11"/>
      <c r="C864" s="11"/>
      <c r="D864" s="11"/>
      <c r="E864" s="11"/>
      <c r="F864" s="11"/>
      <c r="G864" s="11"/>
      <c r="H864" s="11"/>
      <c r="I864" s="11"/>
      <c r="J864" s="11"/>
      <c r="K864" s="11"/>
      <c r="L864" s="15"/>
      <c r="M864" s="15"/>
      <c r="N864" s="15"/>
      <c r="O864" s="15"/>
      <c r="P864" s="15"/>
      <c r="Q864" s="11"/>
      <c r="R864" s="11"/>
      <c r="S864" s="11"/>
      <c r="T864" s="11"/>
      <c r="U864" s="15"/>
      <c r="V864" s="11"/>
      <c r="W864" s="11"/>
      <c r="X864" s="11"/>
      <c r="Y864" s="11"/>
      <c r="Z864" s="11"/>
    </row>
    <row r="865">
      <c r="A865" s="18"/>
      <c r="B865" s="11"/>
      <c r="C865" s="11"/>
      <c r="D865" s="11"/>
      <c r="E865" s="11"/>
      <c r="F865" s="11"/>
      <c r="G865" s="11"/>
      <c r="H865" s="11"/>
      <c r="I865" s="11"/>
      <c r="J865" s="11"/>
      <c r="K865" s="11"/>
      <c r="L865" s="15"/>
      <c r="M865" s="15"/>
      <c r="N865" s="15"/>
      <c r="O865" s="15"/>
      <c r="P865" s="15"/>
      <c r="Q865" s="11"/>
      <c r="R865" s="11"/>
      <c r="S865" s="11"/>
      <c r="T865" s="11"/>
      <c r="U865" s="15"/>
      <c r="V865" s="11"/>
      <c r="W865" s="11"/>
      <c r="X865" s="11"/>
      <c r="Y865" s="11"/>
      <c r="Z865" s="11"/>
    </row>
    <row r="866">
      <c r="A866" s="18"/>
      <c r="B866" s="11"/>
      <c r="C866" s="11"/>
      <c r="D866" s="11"/>
      <c r="E866" s="11"/>
      <c r="F866" s="11"/>
      <c r="G866" s="11"/>
      <c r="H866" s="11"/>
      <c r="I866" s="11"/>
      <c r="J866" s="11"/>
      <c r="K866" s="11"/>
      <c r="L866" s="15"/>
      <c r="M866" s="15"/>
      <c r="N866" s="15"/>
      <c r="O866" s="15"/>
      <c r="P866" s="15"/>
      <c r="Q866" s="11"/>
      <c r="R866" s="11"/>
      <c r="S866" s="11"/>
      <c r="T866" s="11"/>
      <c r="U866" s="15"/>
      <c r="V866" s="11"/>
      <c r="W866" s="11"/>
      <c r="X866" s="11"/>
      <c r="Y866" s="11"/>
      <c r="Z866" s="11"/>
    </row>
    <row r="867">
      <c r="A867" s="18"/>
      <c r="B867" s="11"/>
      <c r="C867" s="11"/>
      <c r="D867" s="11"/>
      <c r="E867" s="11"/>
      <c r="F867" s="11"/>
      <c r="G867" s="11"/>
      <c r="H867" s="11"/>
      <c r="I867" s="11"/>
      <c r="J867" s="11"/>
      <c r="K867" s="11"/>
      <c r="L867" s="15"/>
      <c r="M867" s="15"/>
      <c r="N867" s="15"/>
      <c r="O867" s="15"/>
      <c r="P867" s="15"/>
      <c r="Q867" s="11"/>
      <c r="R867" s="11"/>
      <c r="S867" s="11"/>
      <c r="T867" s="11"/>
      <c r="U867" s="15"/>
      <c r="V867" s="11"/>
      <c r="W867" s="11"/>
      <c r="X867" s="11"/>
      <c r="Y867" s="11"/>
      <c r="Z867" s="11"/>
    </row>
    <row r="868">
      <c r="A868" s="18"/>
      <c r="B868" s="11"/>
      <c r="C868" s="11"/>
      <c r="D868" s="11"/>
      <c r="E868" s="11"/>
      <c r="F868" s="11"/>
      <c r="G868" s="11"/>
      <c r="H868" s="11"/>
      <c r="I868" s="11"/>
      <c r="J868" s="11"/>
      <c r="K868" s="11"/>
      <c r="L868" s="15"/>
      <c r="M868" s="15"/>
      <c r="N868" s="15"/>
      <c r="O868" s="15"/>
      <c r="P868" s="15"/>
      <c r="Q868" s="11"/>
      <c r="R868" s="11"/>
      <c r="S868" s="11"/>
      <c r="T868" s="11"/>
      <c r="U868" s="15"/>
      <c r="V868" s="11"/>
      <c r="W868" s="11"/>
      <c r="X868" s="11"/>
      <c r="Y868" s="11"/>
      <c r="Z868" s="11"/>
    </row>
    <row r="869">
      <c r="A869" s="18"/>
      <c r="B869" s="11"/>
      <c r="C869" s="11"/>
      <c r="D869" s="11"/>
      <c r="E869" s="11"/>
      <c r="F869" s="11"/>
      <c r="G869" s="11"/>
      <c r="H869" s="11"/>
      <c r="I869" s="11"/>
      <c r="J869" s="11"/>
      <c r="K869" s="11"/>
      <c r="L869" s="15"/>
      <c r="M869" s="15"/>
      <c r="N869" s="15"/>
      <c r="O869" s="15"/>
      <c r="P869" s="15"/>
      <c r="Q869" s="11"/>
      <c r="R869" s="11"/>
      <c r="S869" s="11"/>
      <c r="T869" s="11"/>
      <c r="U869" s="15"/>
      <c r="V869" s="11"/>
      <c r="W869" s="11"/>
      <c r="X869" s="11"/>
      <c r="Y869" s="11"/>
      <c r="Z869" s="11"/>
    </row>
    <row r="870">
      <c r="A870" s="18"/>
      <c r="B870" s="11"/>
      <c r="C870" s="11"/>
      <c r="D870" s="11"/>
      <c r="E870" s="11"/>
      <c r="F870" s="11"/>
      <c r="G870" s="11"/>
      <c r="H870" s="11"/>
      <c r="I870" s="11"/>
      <c r="J870" s="11"/>
      <c r="K870" s="11"/>
      <c r="L870" s="15"/>
      <c r="M870" s="15"/>
      <c r="N870" s="15"/>
      <c r="O870" s="15"/>
      <c r="P870" s="15"/>
      <c r="Q870" s="11"/>
      <c r="R870" s="11"/>
      <c r="S870" s="11"/>
      <c r="T870" s="11"/>
      <c r="U870" s="15"/>
      <c r="V870" s="11"/>
      <c r="W870" s="11"/>
      <c r="X870" s="11"/>
      <c r="Y870" s="11"/>
      <c r="Z870" s="11"/>
    </row>
    <row r="871">
      <c r="A871" s="18"/>
      <c r="B871" s="11"/>
      <c r="C871" s="11"/>
      <c r="D871" s="11"/>
      <c r="E871" s="11"/>
      <c r="F871" s="11"/>
      <c r="G871" s="11"/>
      <c r="H871" s="11"/>
      <c r="I871" s="11"/>
      <c r="J871" s="11"/>
      <c r="K871" s="11"/>
      <c r="L871" s="15"/>
      <c r="M871" s="15"/>
      <c r="N871" s="15"/>
      <c r="O871" s="15"/>
      <c r="P871" s="15"/>
      <c r="Q871" s="11"/>
      <c r="R871" s="11"/>
      <c r="S871" s="11"/>
      <c r="T871" s="11"/>
      <c r="U871" s="15"/>
      <c r="V871" s="11"/>
      <c r="W871" s="11"/>
      <c r="X871" s="11"/>
      <c r="Y871" s="11"/>
      <c r="Z871" s="11"/>
    </row>
    <row r="872">
      <c r="A872" s="18"/>
      <c r="B872" s="11"/>
      <c r="C872" s="11"/>
      <c r="D872" s="11"/>
      <c r="E872" s="11"/>
      <c r="F872" s="11"/>
      <c r="G872" s="11"/>
      <c r="H872" s="11"/>
      <c r="I872" s="11"/>
      <c r="J872" s="11"/>
      <c r="K872" s="11"/>
      <c r="L872" s="15"/>
      <c r="M872" s="15"/>
      <c r="N872" s="15"/>
      <c r="O872" s="15"/>
      <c r="P872" s="15"/>
      <c r="Q872" s="11"/>
      <c r="R872" s="11"/>
      <c r="S872" s="11"/>
      <c r="T872" s="11"/>
      <c r="U872" s="15"/>
      <c r="V872" s="11"/>
      <c r="W872" s="11"/>
      <c r="X872" s="11"/>
      <c r="Y872" s="11"/>
      <c r="Z872" s="11"/>
    </row>
    <row r="873">
      <c r="A873" s="18"/>
      <c r="B873" s="11"/>
      <c r="C873" s="11"/>
      <c r="D873" s="11"/>
      <c r="E873" s="11"/>
      <c r="F873" s="11"/>
      <c r="G873" s="11"/>
      <c r="H873" s="11"/>
      <c r="I873" s="11"/>
      <c r="J873" s="11"/>
      <c r="K873" s="11"/>
      <c r="L873" s="15"/>
      <c r="M873" s="15"/>
      <c r="N873" s="15"/>
      <c r="O873" s="15"/>
      <c r="P873" s="15"/>
      <c r="Q873" s="11"/>
      <c r="R873" s="11"/>
      <c r="S873" s="11"/>
      <c r="T873" s="11"/>
      <c r="U873" s="15"/>
      <c r="V873" s="11"/>
      <c r="W873" s="11"/>
      <c r="X873" s="11"/>
      <c r="Y873" s="11"/>
      <c r="Z873" s="11"/>
    </row>
    <row r="874">
      <c r="A874" s="18"/>
      <c r="B874" s="11"/>
      <c r="C874" s="11"/>
      <c r="D874" s="11"/>
      <c r="E874" s="11"/>
      <c r="F874" s="11"/>
      <c r="G874" s="11"/>
      <c r="H874" s="11"/>
      <c r="I874" s="11"/>
      <c r="J874" s="11"/>
      <c r="K874" s="11"/>
      <c r="L874" s="15"/>
      <c r="M874" s="15"/>
      <c r="N874" s="15"/>
      <c r="O874" s="15"/>
      <c r="P874" s="15"/>
      <c r="Q874" s="11"/>
      <c r="R874" s="11"/>
      <c r="S874" s="11"/>
      <c r="T874" s="11"/>
      <c r="U874" s="15"/>
      <c r="V874" s="11"/>
      <c r="W874" s="11"/>
      <c r="X874" s="11"/>
      <c r="Y874" s="11"/>
      <c r="Z874" s="11"/>
    </row>
    <row r="875">
      <c r="A875" s="18"/>
      <c r="B875" s="11"/>
      <c r="C875" s="11"/>
      <c r="D875" s="11"/>
      <c r="E875" s="11"/>
      <c r="F875" s="11"/>
      <c r="G875" s="11"/>
      <c r="H875" s="11"/>
      <c r="I875" s="11"/>
      <c r="J875" s="11"/>
      <c r="K875" s="11"/>
      <c r="L875" s="15"/>
      <c r="M875" s="15"/>
      <c r="N875" s="15"/>
      <c r="O875" s="15"/>
      <c r="P875" s="15"/>
      <c r="Q875" s="11"/>
      <c r="R875" s="11"/>
      <c r="S875" s="11"/>
      <c r="T875" s="11"/>
      <c r="U875" s="15"/>
      <c r="V875" s="11"/>
      <c r="W875" s="11"/>
      <c r="X875" s="11"/>
      <c r="Y875" s="11"/>
      <c r="Z875" s="11"/>
    </row>
    <row r="876">
      <c r="A876" s="18"/>
      <c r="B876" s="11"/>
      <c r="C876" s="11"/>
      <c r="D876" s="11"/>
      <c r="E876" s="11"/>
      <c r="F876" s="11"/>
      <c r="G876" s="11"/>
      <c r="H876" s="11"/>
      <c r="I876" s="11"/>
      <c r="J876" s="11"/>
      <c r="K876" s="11"/>
      <c r="L876" s="15"/>
      <c r="M876" s="15"/>
      <c r="N876" s="15"/>
      <c r="O876" s="15"/>
      <c r="P876" s="15"/>
      <c r="Q876" s="11"/>
      <c r="R876" s="11"/>
      <c r="S876" s="11"/>
      <c r="T876" s="11"/>
      <c r="U876" s="15"/>
      <c r="V876" s="11"/>
      <c r="W876" s="11"/>
      <c r="X876" s="11"/>
      <c r="Y876" s="11"/>
      <c r="Z876" s="11"/>
    </row>
    <row r="877">
      <c r="A877" s="18"/>
      <c r="B877" s="11"/>
      <c r="C877" s="11"/>
      <c r="D877" s="11"/>
      <c r="E877" s="11"/>
      <c r="F877" s="11"/>
      <c r="G877" s="11"/>
      <c r="H877" s="11"/>
      <c r="I877" s="11"/>
      <c r="J877" s="11"/>
      <c r="K877" s="11"/>
      <c r="L877" s="15"/>
      <c r="M877" s="15"/>
      <c r="N877" s="15"/>
      <c r="O877" s="15"/>
      <c r="P877" s="15"/>
      <c r="Q877" s="11"/>
      <c r="R877" s="11"/>
      <c r="S877" s="11"/>
      <c r="T877" s="11"/>
      <c r="U877" s="15"/>
      <c r="V877" s="11"/>
      <c r="W877" s="11"/>
      <c r="X877" s="11"/>
      <c r="Y877" s="11"/>
      <c r="Z877" s="11"/>
    </row>
    <row r="878">
      <c r="A878" s="18"/>
      <c r="B878" s="11"/>
      <c r="C878" s="11"/>
      <c r="D878" s="11"/>
      <c r="E878" s="11"/>
      <c r="F878" s="11"/>
      <c r="G878" s="11"/>
      <c r="H878" s="11"/>
      <c r="I878" s="11"/>
      <c r="J878" s="11"/>
      <c r="K878" s="11"/>
      <c r="L878" s="15"/>
      <c r="M878" s="15"/>
      <c r="N878" s="15"/>
      <c r="O878" s="15"/>
      <c r="P878" s="15"/>
      <c r="Q878" s="11"/>
      <c r="R878" s="11"/>
      <c r="S878" s="11"/>
      <c r="T878" s="11"/>
      <c r="U878" s="15"/>
      <c r="V878" s="11"/>
      <c r="W878" s="11"/>
      <c r="X878" s="11"/>
      <c r="Y878" s="11"/>
      <c r="Z878" s="11"/>
    </row>
    <row r="879">
      <c r="A879" s="18"/>
      <c r="B879" s="11"/>
      <c r="C879" s="11"/>
      <c r="D879" s="11"/>
      <c r="E879" s="11"/>
      <c r="F879" s="11"/>
      <c r="G879" s="11"/>
      <c r="H879" s="11"/>
      <c r="I879" s="11"/>
      <c r="J879" s="11"/>
      <c r="K879" s="11"/>
      <c r="L879" s="15"/>
      <c r="M879" s="15"/>
      <c r="N879" s="15"/>
      <c r="O879" s="15"/>
      <c r="P879" s="15"/>
      <c r="Q879" s="11"/>
      <c r="R879" s="11"/>
      <c r="S879" s="11"/>
      <c r="T879" s="11"/>
      <c r="U879" s="15"/>
      <c r="V879" s="11"/>
      <c r="W879" s="11"/>
      <c r="X879" s="11"/>
      <c r="Y879" s="11"/>
      <c r="Z879" s="11"/>
    </row>
    <row r="880">
      <c r="A880" s="18"/>
      <c r="B880" s="11"/>
      <c r="C880" s="11"/>
      <c r="D880" s="11"/>
      <c r="E880" s="11"/>
      <c r="F880" s="11"/>
      <c r="G880" s="11"/>
      <c r="H880" s="11"/>
      <c r="I880" s="11"/>
      <c r="J880" s="11"/>
      <c r="K880" s="11"/>
      <c r="L880" s="15"/>
      <c r="M880" s="15"/>
      <c r="N880" s="15"/>
      <c r="O880" s="15"/>
      <c r="P880" s="15"/>
      <c r="Q880" s="11"/>
      <c r="R880" s="11"/>
      <c r="S880" s="11"/>
      <c r="T880" s="11"/>
      <c r="U880" s="15"/>
      <c r="V880" s="11"/>
      <c r="W880" s="11"/>
      <c r="X880" s="11"/>
      <c r="Y880" s="11"/>
      <c r="Z880" s="11"/>
    </row>
    <row r="881">
      <c r="A881" s="18"/>
      <c r="B881" s="11"/>
      <c r="C881" s="11"/>
      <c r="D881" s="11"/>
      <c r="E881" s="11"/>
      <c r="F881" s="11"/>
      <c r="G881" s="11"/>
      <c r="H881" s="11"/>
      <c r="I881" s="11"/>
      <c r="J881" s="11"/>
      <c r="K881" s="11"/>
      <c r="L881" s="15"/>
      <c r="M881" s="15"/>
      <c r="N881" s="15"/>
      <c r="O881" s="15"/>
      <c r="P881" s="15"/>
      <c r="Q881" s="11"/>
      <c r="R881" s="11"/>
      <c r="S881" s="11"/>
      <c r="T881" s="11"/>
      <c r="U881" s="15"/>
      <c r="V881" s="11"/>
      <c r="W881" s="11"/>
      <c r="X881" s="11"/>
      <c r="Y881" s="11"/>
      <c r="Z881" s="11"/>
    </row>
    <row r="882">
      <c r="A882" s="18"/>
      <c r="B882" s="11"/>
      <c r="C882" s="11"/>
      <c r="D882" s="11"/>
      <c r="E882" s="11"/>
      <c r="F882" s="11"/>
      <c r="G882" s="11"/>
      <c r="H882" s="11"/>
      <c r="I882" s="11"/>
      <c r="J882" s="11"/>
      <c r="K882" s="11"/>
      <c r="L882" s="15"/>
      <c r="M882" s="15"/>
      <c r="N882" s="15"/>
      <c r="O882" s="15"/>
      <c r="P882" s="15"/>
      <c r="Q882" s="11"/>
      <c r="R882" s="11"/>
      <c r="S882" s="11"/>
      <c r="T882" s="11"/>
      <c r="U882" s="15"/>
      <c r="V882" s="11"/>
      <c r="W882" s="11"/>
      <c r="X882" s="11"/>
      <c r="Y882" s="11"/>
      <c r="Z882" s="11"/>
    </row>
    <row r="883">
      <c r="A883" s="18"/>
      <c r="B883" s="11"/>
      <c r="C883" s="11"/>
      <c r="D883" s="11"/>
      <c r="E883" s="11"/>
      <c r="F883" s="11"/>
      <c r="G883" s="11"/>
      <c r="H883" s="11"/>
      <c r="I883" s="11"/>
      <c r="J883" s="11"/>
      <c r="K883" s="11"/>
      <c r="L883" s="15"/>
      <c r="M883" s="15"/>
      <c r="N883" s="15"/>
      <c r="O883" s="15"/>
      <c r="P883" s="15"/>
      <c r="Q883" s="11"/>
      <c r="R883" s="11"/>
      <c r="S883" s="11"/>
      <c r="T883" s="11"/>
      <c r="U883" s="15"/>
      <c r="V883" s="11"/>
      <c r="W883" s="11"/>
      <c r="X883" s="11"/>
      <c r="Y883" s="11"/>
      <c r="Z883" s="11"/>
    </row>
    <row r="884">
      <c r="A884" s="18"/>
      <c r="B884" s="11"/>
      <c r="C884" s="11"/>
      <c r="D884" s="11"/>
      <c r="E884" s="11"/>
      <c r="F884" s="11"/>
      <c r="G884" s="11"/>
      <c r="H884" s="11"/>
      <c r="I884" s="11"/>
      <c r="J884" s="11"/>
      <c r="K884" s="11"/>
      <c r="L884" s="15"/>
      <c r="M884" s="15"/>
      <c r="N884" s="15"/>
      <c r="O884" s="15"/>
      <c r="P884" s="15"/>
      <c r="Q884" s="11"/>
      <c r="R884" s="11"/>
      <c r="S884" s="11"/>
      <c r="T884" s="11"/>
      <c r="U884" s="15"/>
      <c r="V884" s="11"/>
      <c r="W884" s="11"/>
      <c r="X884" s="11"/>
      <c r="Y884" s="11"/>
      <c r="Z884" s="11"/>
    </row>
    <row r="885">
      <c r="A885" s="18"/>
      <c r="B885" s="11"/>
      <c r="C885" s="11"/>
      <c r="D885" s="11"/>
      <c r="E885" s="11"/>
      <c r="F885" s="11"/>
      <c r="G885" s="11"/>
      <c r="H885" s="11"/>
      <c r="I885" s="11"/>
      <c r="J885" s="11"/>
      <c r="K885" s="11"/>
      <c r="L885" s="15"/>
      <c r="M885" s="15"/>
      <c r="N885" s="15"/>
      <c r="O885" s="15"/>
      <c r="P885" s="15"/>
      <c r="Q885" s="11"/>
      <c r="R885" s="11"/>
      <c r="S885" s="11"/>
      <c r="T885" s="11"/>
      <c r="U885" s="15"/>
      <c r="V885" s="11"/>
      <c r="W885" s="11"/>
      <c r="X885" s="11"/>
      <c r="Y885" s="11"/>
      <c r="Z885" s="11"/>
    </row>
    <row r="886">
      <c r="A886" s="18"/>
      <c r="B886" s="11"/>
      <c r="C886" s="11"/>
      <c r="D886" s="11"/>
      <c r="E886" s="11"/>
      <c r="F886" s="11"/>
      <c r="G886" s="11"/>
      <c r="H886" s="11"/>
      <c r="I886" s="11"/>
      <c r="J886" s="11"/>
      <c r="K886" s="11"/>
      <c r="L886" s="15"/>
      <c r="M886" s="15"/>
      <c r="N886" s="15"/>
      <c r="O886" s="15"/>
      <c r="P886" s="15"/>
      <c r="Q886" s="11"/>
      <c r="R886" s="11"/>
      <c r="S886" s="11"/>
      <c r="T886" s="11"/>
      <c r="U886" s="15"/>
      <c r="V886" s="11"/>
      <c r="W886" s="11"/>
      <c r="X886" s="11"/>
      <c r="Y886" s="11"/>
      <c r="Z886" s="11"/>
    </row>
    <row r="887">
      <c r="A887" s="18"/>
      <c r="B887" s="11"/>
      <c r="C887" s="11"/>
      <c r="D887" s="11"/>
      <c r="E887" s="11"/>
      <c r="F887" s="11"/>
      <c r="G887" s="11"/>
      <c r="H887" s="11"/>
      <c r="I887" s="11"/>
      <c r="J887" s="11"/>
      <c r="K887" s="11"/>
      <c r="L887" s="15"/>
      <c r="M887" s="15"/>
      <c r="N887" s="15"/>
      <c r="O887" s="15"/>
      <c r="P887" s="15"/>
      <c r="Q887" s="11"/>
      <c r="R887" s="11"/>
      <c r="S887" s="11"/>
      <c r="T887" s="11"/>
      <c r="U887" s="15"/>
      <c r="V887" s="11"/>
      <c r="W887" s="11"/>
      <c r="X887" s="11"/>
      <c r="Y887" s="11"/>
      <c r="Z887" s="11"/>
    </row>
    <row r="888">
      <c r="A888" s="18"/>
      <c r="B888" s="11"/>
      <c r="C888" s="11"/>
      <c r="D888" s="11"/>
      <c r="E888" s="11"/>
      <c r="F888" s="11"/>
      <c r="G888" s="11"/>
      <c r="H888" s="11"/>
      <c r="I888" s="11"/>
      <c r="J888" s="11"/>
      <c r="K888" s="11"/>
      <c r="L888" s="15"/>
      <c r="M888" s="15"/>
      <c r="N888" s="15"/>
      <c r="O888" s="15"/>
      <c r="P888" s="15"/>
      <c r="Q888" s="11"/>
      <c r="R888" s="11"/>
      <c r="S888" s="11"/>
      <c r="T888" s="11"/>
      <c r="U888" s="15"/>
      <c r="V888" s="11"/>
      <c r="W888" s="11"/>
      <c r="X888" s="11"/>
      <c r="Y888" s="11"/>
      <c r="Z888" s="11"/>
    </row>
    <row r="889">
      <c r="A889" s="18"/>
      <c r="B889" s="11"/>
      <c r="C889" s="11"/>
      <c r="D889" s="11"/>
      <c r="E889" s="11"/>
      <c r="F889" s="11"/>
      <c r="G889" s="11"/>
      <c r="H889" s="11"/>
      <c r="I889" s="11"/>
      <c r="J889" s="11"/>
      <c r="K889" s="11"/>
      <c r="L889" s="15"/>
      <c r="M889" s="15"/>
      <c r="N889" s="15"/>
      <c r="O889" s="15"/>
      <c r="P889" s="15"/>
      <c r="Q889" s="11"/>
      <c r="R889" s="11"/>
      <c r="S889" s="11"/>
      <c r="T889" s="11"/>
      <c r="U889" s="15"/>
      <c r="V889" s="11"/>
      <c r="W889" s="11"/>
      <c r="X889" s="11"/>
      <c r="Y889" s="11"/>
      <c r="Z889" s="11"/>
    </row>
    <row r="890">
      <c r="A890" s="18"/>
      <c r="B890" s="11"/>
      <c r="C890" s="11"/>
      <c r="D890" s="11"/>
      <c r="E890" s="11"/>
      <c r="F890" s="11"/>
      <c r="G890" s="11"/>
      <c r="H890" s="11"/>
      <c r="I890" s="11"/>
      <c r="J890" s="11"/>
      <c r="K890" s="11"/>
      <c r="L890" s="15"/>
      <c r="M890" s="15"/>
      <c r="N890" s="15"/>
      <c r="O890" s="15"/>
      <c r="P890" s="15"/>
      <c r="Q890" s="11"/>
      <c r="R890" s="11"/>
      <c r="S890" s="11"/>
      <c r="T890" s="11"/>
      <c r="U890" s="15"/>
      <c r="V890" s="11"/>
      <c r="W890" s="11"/>
      <c r="X890" s="11"/>
      <c r="Y890" s="11"/>
      <c r="Z890" s="11"/>
    </row>
    <row r="891">
      <c r="A891" s="18"/>
      <c r="B891" s="11"/>
      <c r="C891" s="11"/>
      <c r="D891" s="11"/>
      <c r="E891" s="11"/>
      <c r="F891" s="11"/>
      <c r="G891" s="11"/>
      <c r="H891" s="11"/>
      <c r="I891" s="11"/>
      <c r="J891" s="11"/>
      <c r="K891" s="11"/>
      <c r="L891" s="15"/>
      <c r="M891" s="15"/>
      <c r="N891" s="15"/>
      <c r="O891" s="15"/>
      <c r="P891" s="15"/>
      <c r="Q891" s="11"/>
      <c r="R891" s="11"/>
      <c r="S891" s="11"/>
      <c r="T891" s="11"/>
      <c r="U891" s="15"/>
      <c r="V891" s="11"/>
      <c r="W891" s="11"/>
      <c r="X891" s="11"/>
      <c r="Y891" s="11"/>
      <c r="Z891" s="11"/>
    </row>
    <row r="892">
      <c r="A892" s="18"/>
      <c r="B892" s="11"/>
      <c r="C892" s="11"/>
      <c r="D892" s="11"/>
      <c r="E892" s="11"/>
      <c r="F892" s="11"/>
      <c r="G892" s="11"/>
      <c r="H892" s="11"/>
      <c r="I892" s="11"/>
      <c r="J892" s="11"/>
      <c r="K892" s="11"/>
      <c r="L892" s="15"/>
      <c r="M892" s="15"/>
      <c r="N892" s="15"/>
      <c r="O892" s="15"/>
      <c r="P892" s="15"/>
      <c r="Q892" s="11"/>
      <c r="R892" s="11"/>
      <c r="S892" s="11"/>
      <c r="T892" s="11"/>
      <c r="U892" s="15"/>
      <c r="V892" s="11"/>
      <c r="W892" s="11"/>
      <c r="X892" s="11"/>
      <c r="Y892" s="11"/>
      <c r="Z892" s="11"/>
    </row>
    <row r="893">
      <c r="A893" s="18"/>
      <c r="B893" s="11"/>
      <c r="C893" s="11"/>
      <c r="D893" s="11"/>
      <c r="E893" s="11"/>
      <c r="F893" s="11"/>
      <c r="G893" s="11"/>
      <c r="H893" s="11"/>
      <c r="I893" s="11"/>
      <c r="J893" s="11"/>
      <c r="K893" s="11"/>
      <c r="L893" s="15"/>
      <c r="M893" s="15"/>
      <c r="N893" s="15"/>
      <c r="O893" s="15"/>
      <c r="P893" s="15"/>
      <c r="Q893" s="11"/>
      <c r="R893" s="11"/>
      <c r="S893" s="11"/>
      <c r="T893" s="11"/>
      <c r="U893" s="15"/>
      <c r="V893" s="11"/>
      <c r="W893" s="11"/>
      <c r="X893" s="11"/>
      <c r="Y893" s="11"/>
      <c r="Z893" s="11"/>
    </row>
    <row r="894">
      <c r="A894" s="18"/>
      <c r="B894" s="11"/>
      <c r="C894" s="11"/>
      <c r="D894" s="11"/>
      <c r="E894" s="11"/>
      <c r="F894" s="11"/>
      <c r="G894" s="11"/>
      <c r="H894" s="11"/>
      <c r="I894" s="11"/>
      <c r="J894" s="11"/>
      <c r="K894" s="11"/>
      <c r="L894" s="15"/>
      <c r="M894" s="15"/>
      <c r="N894" s="15"/>
      <c r="O894" s="15"/>
      <c r="P894" s="15"/>
      <c r="Q894" s="11"/>
      <c r="R894" s="11"/>
      <c r="S894" s="11"/>
      <c r="T894" s="11"/>
      <c r="U894" s="15"/>
      <c r="V894" s="11"/>
      <c r="W894" s="11"/>
      <c r="X894" s="11"/>
      <c r="Y894" s="11"/>
      <c r="Z894" s="11"/>
    </row>
    <row r="895">
      <c r="A895" s="18"/>
      <c r="B895" s="11"/>
      <c r="C895" s="11"/>
      <c r="D895" s="11"/>
      <c r="E895" s="11"/>
      <c r="F895" s="11"/>
      <c r="G895" s="11"/>
      <c r="H895" s="11"/>
      <c r="I895" s="11"/>
      <c r="J895" s="11"/>
      <c r="K895" s="11"/>
      <c r="L895" s="15"/>
      <c r="M895" s="15"/>
      <c r="N895" s="15"/>
      <c r="O895" s="15"/>
      <c r="P895" s="15"/>
      <c r="Q895" s="11"/>
      <c r="R895" s="11"/>
      <c r="S895" s="11"/>
      <c r="T895" s="11"/>
      <c r="U895" s="15"/>
      <c r="V895" s="11"/>
      <c r="W895" s="11"/>
      <c r="X895" s="11"/>
      <c r="Y895" s="11"/>
      <c r="Z895" s="11"/>
    </row>
    <row r="896">
      <c r="A896" s="18"/>
      <c r="B896" s="11"/>
      <c r="C896" s="11"/>
      <c r="D896" s="11"/>
      <c r="E896" s="11"/>
      <c r="F896" s="11"/>
      <c r="G896" s="11"/>
      <c r="H896" s="11"/>
      <c r="I896" s="11"/>
      <c r="J896" s="11"/>
      <c r="K896" s="11"/>
      <c r="L896" s="15"/>
      <c r="M896" s="15"/>
      <c r="N896" s="15"/>
      <c r="O896" s="15"/>
      <c r="P896" s="15"/>
      <c r="Q896" s="11"/>
      <c r="R896" s="11"/>
      <c r="S896" s="11"/>
      <c r="T896" s="11"/>
      <c r="U896" s="15"/>
      <c r="V896" s="11"/>
      <c r="W896" s="11"/>
      <c r="X896" s="11"/>
      <c r="Y896" s="11"/>
      <c r="Z896" s="11"/>
    </row>
    <row r="897">
      <c r="A897" s="18"/>
      <c r="B897" s="11"/>
      <c r="C897" s="11"/>
      <c r="D897" s="11"/>
      <c r="E897" s="11"/>
      <c r="F897" s="11"/>
      <c r="G897" s="11"/>
      <c r="H897" s="11"/>
      <c r="I897" s="11"/>
      <c r="J897" s="11"/>
      <c r="K897" s="11"/>
      <c r="L897" s="15"/>
      <c r="M897" s="15"/>
      <c r="N897" s="15"/>
      <c r="O897" s="15"/>
      <c r="P897" s="15"/>
      <c r="Q897" s="11"/>
      <c r="R897" s="11"/>
      <c r="S897" s="11"/>
      <c r="T897" s="11"/>
      <c r="U897" s="15"/>
      <c r="V897" s="11"/>
      <c r="W897" s="11"/>
      <c r="X897" s="11"/>
      <c r="Y897" s="11"/>
      <c r="Z897" s="11"/>
    </row>
    <row r="898">
      <c r="A898" s="18"/>
      <c r="B898" s="11"/>
      <c r="C898" s="11"/>
      <c r="D898" s="11"/>
      <c r="E898" s="11"/>
      <c r="F898" s="11"/>
      <c r="G898" s="11"/>
      <c r="H898" s="11"/>
      <c r="I898" s="11"/>
      <c r="J898" s="11"/>
      <c r="K898" s="11"/>
      <c r="L898" s="15"/>
      <c r="M898" s="15"/>
      <c r="N898" s="15"/>
      <c r="O898" s="15"/>
      <c r="P898" s="15"/>
      <c r="Q898" s="11"/>
      <c r="R898" s="11"/>
      <c r="S898" s="11"/>
      <c r="T898" s="11"/>
      <c r="U898" s="15"/>
      <c r="V898" s="11"/>
      <c r="W898" s="11"/>
      <c r="X898" s="11"/>
      <c r="Y898" s="11"/>
      <c r="Z898" s="11"/>
    </row>
    <row r="899">
      <c r="A899" s="18"/>
      <c r="B899" s="11"/>
      <c r="C899" s="11"/>
      <c r="D899" s="11"/>
      <c r="E899" s="11"/>
      <c r="F899" s="11"/>
      <c r="G899" s="11"/>
      <c r="H899" s="11"/>
      <c r="I899" s="11"/>
      <c r="J899" s="11"/>
      <c r="K899" s="11"/>
      <c r="L899" s="15"/>
      <c r="M899" s="15"/>
      <c r="N899" s="15"/>
      <c r="O899" s="15"/>
      <c r="P899" s="15"/>
      <c r="Q899" s="11"/>
      <c r="R899" s="11"/>
      <c r="S899" s="11"/>
      <c r="T899" s="11"/>
      <c r="U899" s="15"/>
      <c r="V899" s="11"/>
      <c r="W899" s="11"/>
      <c r="X899" s="11"/>
      <c r="Y899" s="11"/>
      <c r="Z899" s="11"/>
    </row>
    <row r="900">
      <c r="A900" s="18"/>
      <c r="B900" s="11"/>
      <c r="C900" s="11"/>
      <c r="D900" s="11"/>
      <c r="E900" s="11"/>
      <c r="F900" s="11"/>
      <c r="G900" s="11"/>
      <c r="H900" s="11"/>
      <c r="I900" s="11"/>
      <c r="J900" s="11"/>
      <c r="K900" s="11"/>
      <c r="L900" s="15"/>
      <c r="M900" s="15"/>
      <c r="N900" s="15"/>
      <c r="O900" s="15"/>
      <c r="P900" s="15"/>
      <c r="Q900" s="11"/>
      <c r="R900" s="11"/>
      <c r="S900" s="11"/>
      <c r="T900" s="11"/>
      <c r="U900" s="15"/>
      <c r="V900" s="11"/>
      <c r="W900" s="11"/>
      <c r="X900" s="11"/>
      <c r="Y900" s="11"/>
      <c r="Z900" s="11"/>
    </row>
    <row r="901">
      <c r="A901" s="18"/>
      <c r="B901" s="11"/>
      <c r="C901" s="11"/>
      <c r="D901" s="11"/>
      <c r="E901" s="11"/>
      <c r="F901" s="11"/>
      <c r="G901" s="11"/>
      <c r="H901" s="11"/>
      <c r="I901" s="11"/>
      <c r="J901" s="11"/>
      <c r="K901" s="11"/>
      <c r="L901" s="15"/>
      <c r="M901" s="15"/>
      <c r="N901" s="15"/>
      <c r="O901" s="15"/>
      <c r="P901" s="15"/>
      <c r="Q901" s="11"/>
      <c r="R901" s="11"/>
      <c r="S901" s="11"/>
      <c r="T901" s="11"/>
      <c r="U901" s="15"/>
      <c r="V901" s="11"/>
      <c r="W901" s="11"/>
      <c r="X901" s="11"/>
      <c r="Y901" s="11"/>
      <c r="Z901" s="11"/>
    </row>
    <row r="902">
      <c r="A902" s="18"/>
      <c r="B902" s="11"/>
      <c r="C902" s="11"/>
      <c r="D902" s="11"/>
      <c r="E902" s="11"/>
      <c r="F902" s="11"/>
      <c r="G902" s="11"/>
      <c r="H902" s="11"/>
      <c r="I902" s="11"/>
      <c r="J902" s="11"/>
      <c r="K902" s="11"/>
      <c r="L902" s="15"/>
      <c r="M902" s="15"/>
      <c r="N902" s="15"/>
      <c r="O902" s="15"/>
      <c r="P902" s="15"/>
      <c r="Q902" s="11"/>
      <c r="R902" s="11"/>
      <c r="S902" s="11"/>
      <c r="T902" s="11"/>
      <c r="U902" s="15"/>
      <c r="V902" s="11"/>
      <c r="W902" s="11"/>
      <c r="X902" s="11"/>
      <c r="Y902" s="11"/>
      <c r="Z902" s="11"/>
    </row>
    <row r="903">
      <c r="A903" s="18"/>
      <c r="B903" s="11"/>
      <c r="C903" s="11"/>
      <c r="D903" s="11"/>
      <c r="E903" s="11"/>
      <c r="F903" s="11"/>
      <c r="G903" s="11"/>
      <c r="H903" s="11"/>
      <c r="I903" s="11"/>
      <c r="J903" s="11"/>
      <c r="K903" s="11"/>
      <c r="L903" s="15"/>
      <c r="M903" s="15"/>
      <c r="N903" s="15"/>
      <c r="O903" s="15"/>
      <c r="P903" s="15"/>
      <c r="Q903" s="11"/>
      <c r="R903" s="11"/>
      <c r="S903" s="11"/>
      <c r="T903" s="11"/>
      <c r="U903" s="15"/>
      <c r="V903" s="11"/>
      <c r="W903" s="11"/>
      <c r="X903" s="11"/>
      <c r="Y903" s="11"/>
      <c r="Z903" s="11"/>
    </row>
    <row r="904">
      <c r="A904" s="18"/>
      <c r="B904" s="11"/>
      <c r="C904" s="11"/>
      <c r="D904" s="11"/>
      <c r="E904" s="11"/>
      <c r="F904" s="11"/>
      <c r="G904" s="11"/>
      <c r="H904" s="11"/>
      <c r="I904" s="11"/>
      <c r="J904" s="11"/>
      <c r="K904" s="11"/>
      <c r="L904" s="15"/>
      <c r="M904" s="15"/>
      <c r="N904" s="15"/>
      <c r="O904" s="15"/>
      <c r="P904" s="15"/>
      <c r="Q904" s="11"/>
      <c r="R904" s="11"/>
      <c r="S904" s="11"/>
      <c r="T904" s="11"/>
      <c r="U904" s="15"/>
      <c r="V904" s="11"/>
      <c r="W904" s="11"/>
      <c r="X904" s="11"/>
      <c r="Y904" s="11"/>
      <c r="Z904" s="11"/>
    </row>
    <row r="905">
      <c r="A905" s="18"/>
      <c r="B905" s="11"/>
      <c r="C905" s="11"/>
      <c r="D905" s="11"/>
      <c r="E905" s="11"/>
      <c r="F905" s="11"/>
      <c r="G905" s="11"/>
      <c r="H905" s="11"/>
      <c r="I905" s="11"/>
      <c r="J905" s="11"/>
      <c r="K905" s="11"/>
      <c r="L905" s="15"/>
      <c r="M905" s="15"/>
      <c r="N905" s="15"/>
      <c r="O905" s="15"/>
      <c r="P905" s="15"/>
      <c r="Q905" s="11"/>
      <c r="R905" s="11"/>
      <c r="S905" s="11"/>
      <c r="T905" s="11"/>
      <c r="U905" s="15"/>
      <c r="V905" s="11"/>
      <c r="W905" s="11"/>
      <c r="X905" s="11"/>
      <c r="Y905" s="11"/>
      <c r="Z905" s="11"/>
    </row>
    <row r="906">
      <c r="A906" s="18"/>
      <c r="B906" s="11"/>
      <c r="C906" s="11"/>
      <c r="D906" s="11"/>
      <c r="E906" s="11"/>
      <c r="F906" s="11"/>
      <c r="G906" s="11"/>
      <c r="H906" s="11"/>
      <c r="I906" s="11"/>
      <c r="J906" s="11"/>
      <c r="K906" s="11"/>
      <c r="L906" s="15"/>
      <c r="M906" s="15"/>
      <c r="N906" s="15"/>
      <c r="O906" s="15"/>
      <c r="P906" s="15"/>
      <c r="Q906" s="11"/>
      <c r="R906" s="11"/>
      <c r="S906" s="11"/>
      <c r="T906" s="11"/>
      <c r="U906" s="15"/>
      <c r="V906" s="11"/>
      <c r="W906" s="11"/>
      <c r="X906" s="11"/>
      <c r="Y906" s="11"/>
      <c r="Z906" s="11"/>
    </row>
    <row r="907">
      <c r="A907" s="18"/>
      <c r="B907" s="11"/>
      <c r="C907" s="11"/>
      <c r="D907" s="11"/>
      <c r="E907" s="11"/>
      <c r="F907" s="11"/>
      <c r="G907" s="11"/>
      <c r="H907" s="11"/>
      <c r="I907" s="11"/>
      <c r="J907" s="11"/>
      <c r="K907" s="11"/>
      <c r="L907" s="15"/>
      <c r="M907" s="15"/>
      <c r="N907" s="15"/>
      <c r="O907" s="15"/>
      <c r="P907" s="15"/>
      <c r="Q907" s="11"/>
      <c r="R907" s="11"/>
      <c r="S907" s="11"/>
      <c r="T907" s="11"/>
      <c r="U907" s="15"/>
      <c r="V907" s="11"/>
      <c r="W907" s="11"/>
      <c r="X907" s="11"/>
      <c r="Y907" s="11"/>
      <c r="Z907" s="11"/>
    </row>
    <row r="908">
      <c r="A908" s="18"/>
      <c r="B908" s="11"/>
      <c r="C908" s="11"/>
      <c r="D908" s="11"/>
      <c r="E908" s="11"/>
      <c r="F908" s="11"/>
      <c r="G908" s="11"/>
      <c r="H908" s="11"/>
      <c r="I908" s="11"/>
      <c r="J908" s="11"/>
      <c r="K908" s="11"/>
      <c r="L908" s="15"/>
      <c r="M908" s="15"/>
      <c r="N908" s="15"/>
      <c r="O908" s="15"/>
      <c r="P908" s="15"/>
      <c r="Q908" s="11"/>
      <c r="R908" s="11"/>
      <c r="S908" s="11"/>
      <c r="T908" s="11"/>
      <c r="U908" s="15"/>
      <c r="V908" s="11"/>
      <c r="W908" s="11"/>
      <c r="X908" s="11"/>
      <c r="Y908" s="11"/>
      <c r="Z908" s="11"/>
    </row>
    <row r="909">
      <c r="A909" s="18"/>
      <c r="B909" s="11"/>
      <c r="C909" s="11"/>
      <c r="D909" s="11"/>
      <c r="E909" s="11"/>
      <c r="F909" s="11"/>
      <c r="G909" s="11"/>
      <c r="H909" s="11"/>
      <c r="I909" s="11"/>
      <c r="J909" s="11"/>
      <c r="K909" s="11"/>
      <c r="L909" s="15"/>
      <c r="M909" s="15"/>
      <c r="N909" s="15"/>
      <c r="O909" s="15"/>
      <c r="P909" s="15"/>
      <c r="Q909" s="11"/>
      <c r="R909" s="11"/>
      <c r="S909" s="11"/>
      <c r="T909" s="11"/>
      <c r="U909" s="15"/>
      <c r="V909" s="11"/>
      <c r="W909" s="11"/>
      <c r="X909" s="11"/>
      <c r="Y909" s="11"/>
      <c r="Z909" s="11"/>
    </row>
    <row r="910">
      <c r="A910" s="18"/>
      <c r="B910" s="11"/>
      <c r="C910" s="11"/>
      <c r="D910" s="11"/>
      <c r="E910" s="11"/>
      <c r="F910" s="11"/>
      <c r="G910" s="11"/>
      <c r="H910" s="11"/>
      <c r="I910" s="11"/>
      <c r="J910" s="11"/>
      <c r="K910" s="11"/>
      <c r="L910" s="15"/>
      <c r="M910" s="15"/>
      <c r="N910" s="15"/>
      <c r="O910" s="15"/>
      <c r="P910" s="15"/>
      <c r="Q910" s="11"/>
      <c r="R910" s="11"/>
      <c r="S910" s="11"/>
      <c r="T910" s="11"/>
      <c r="U910" s="15"/>
      <c r="V910" s="11"/>
      <c r="W910" s="11"/>
      <c r="X910" s="11"/>
      <c r="Y910" s="11"/>
      <c r="Z910" s="11"/>
    </row>
    <row r="911">
      <c r="A911" s="18"/>
      <c r="B911" s="11"/>
      <c r="C911" s="11"/>
      <c r="D911" s="11"/>
      <c r="E911" s="11"/>
      <c r="F911" s="11"/>
      <c r="G911" s="11"/>
      <c r="H911" s="11"/>
      <c r="I911" s="11"/>
      <c r="J911" s="11"/>
      <c r="K911" s="11"/>
      <c r="L911" s="15"/>
      <c r="M911" s="15"/>
      <c r="N911" s="15"/>
      <c r="O911" s="15"/>
      <c r="P911" s="15"/>
      <c r="Q911" s="11"/>
      <c r="R911" s="11"/>
      <c r="S911" s="11"/>
      <c r="T911" s="11"/>
      <c r="U911" s="15"/>
      <c r="V911" s="11"/>
      <c r="W911" s="11"/>
      <c r="X911" s="11"/>
      <c r="Y911" s="11"/>
      <c r="Z911" s="11"/>
    </row>
    <row r="912">
      <c r="A912" s="18"/>
      <c r="B912" s="11"/>
      <c r="C912" s="11"/>
      <c r="D912" s="11"/>
      <c r="E912" s="11"/>
      <c r="F912" s="11"/>
      <c r="G912" s="11"/>
      <c r="H912" s="11"/>
      <c r="I912" s="11"/>
      <c r="J912" s="11"/>
      <c r="K912" s="11"/>
      <c r="L912" s="15"/>
      <c r="M912" s="15"/>
      <c r="N912" s="15"/>
      <c r="O912" s="15"/>
      <c r="P912" s="15"/>
      <c r="Q912" s="11"/>
      <c r="R912" s="11"/>
      <c r="S912" s="11"/>
      <c r="T912" s="11"/>
      <c r="U912" s="15"/>
      <c r="V912" s="11"/>
      <c r="W912" s="11"/>
      <c r="X912" s="11"/>
      <c r="Y912" s="11"/>
      <c r="Z912" s="11"/>
    </row>
    <row r="913">
      <c r="A913" s="18"/>
      <c r="B913" s="11"/>
      <c r="C913" s="11"/>
      <c r="D913" s="11"/>
      <c r="E913" s="11"/>
      <c r="F913" s="11"/>
      <c r="G913" s="11"/>
      <c r="H913" s="11"/>
      <c r="I913" s="11"/>
      <c r="J913" s="11"/>
      <c r="K913" s="11"/>
      <c r="L913" s="15"/>
      <c r="M913" s="15"/>
      <c r="N913" s="15"/>
      <c r="O913" s="15"/>
      <c r="P913" s="15"/>
      <c r="Q913" s="11"/>
      <c r="R913" s="11"/>
      <c r="S913" s="11"/>
      <c r="T913" s="11"/>
      <c r="U913" s="15"/>
      <c r="V913" s="11"/>
      <c r="W913" s="11"/>
      <c r="X913" s="11"/>
      <c r="Y913" s="11"/>
      <c r="Z913" s="11"/>
    </row>
    <row r="914">
      <c r="A914" s="18"/>
      <c r="B914" s="11"/>
      <c r="C914" s="11"/>
      <c r="D914" s="11"/>
      <c r="E914" s="11"/>
      <c r="F914" s="11"/>
      <c r="G914" s="11"/>
      <c r="H914" s="11"/>
      <c r="I914" s="11"/>
      <c r="J914" s="11"/>
      <c r="K914" s="11"/>
      <c r="L914" s="15"/>
      <c r="M914" s="15"/>
      <c r="N914" s="15"/>
      <c r="O914" s="15"/>
      <c r="P914" s="15"/>
      <c r="Q914" s="11"/>
      <c r="R914" s="11"/>
      <c r="S914" s="11"/>
      <c r="T914" s="11"/>
      <c r="U914" s="15"/>
      <c r="V914" s="11"/>
      <c r="W914" s="11"/>
      <c r="X914" s="11"/>
      <c r="Y914" s="11"/>
      <c r="Z914" s="11"/>
    </row>
    <row r="915">
      <c r="A915" s="18"/>
      <c r="B915" s="11"/>
      <c r="C915" s="11"/>
      <c r="D915" s="11"/>
      <c r="E915" s="11"/>
      <c r="F915" s="11"/>
      <c r="G915" s="11"/>
      <c r="H915" s="11"/>
      <c r="I915" s="11"/>
      <c r="J915" s="11"/>
      <c r="K915" s="11"/>
      <c r="L915" s="15"/>
      <c r="M915" s="15"/>
      <c r="N915" s="15"/>
      <c r="O915" s="15"/>
      <c r="P915" s="15"/>
      <c r="Q915" s="11"/>
      <c r="R915" s="11"/>
      <c r="S915" s="11"/>
      <c r="T915" s="11"/>
      <c r="U915" s="15"/>
      <c r="V915" s="11"/>
      <c r="W915" s="11"/>
      <c r="X915" s="11"/>
      <c r="Y915" s="11"/>
      <c r="Z915" s="11"/>
    </row>
    <row r="916">
      <c r="A916" s="18"/>
      <c r="B916" s="11"/>
      <c r="C916" s="11"/>
      <c r="D916" s="11"/>
      <c r="E916" s="11"/>
      <c r="F916" s="11"/>
      <c r="G916" s="11"/>
      <c r="H916" s="11"/>
      <c r="I916" s="11"/>
      <c r="J916" s="11"/>
      <c r="K916" s="11"/>
      <c r="L916" s="15"/>
      <c r="M916" s="15"/>
      <c r="N916" s="15"/>
      <c r="O916" s="15"/>
      <c r="P916" s="15"/>
      <c r="Q916" s="11"/>
      <c r="R916" s="11"/>
      <c r="S916" s="11"/>
      <c r="T916" s="11"/>
      <c r="U916" s="15"/>
      <c r="V916" s="11"/>
      <c r="W916" s="11"/>
      <c r="X916" s="11"/>
      <c r="Y916" s="11"/>
      <c r="Z916" s="11"/>
    </row>
    <row r="917">
      <c r="A917" s="18"/>
      <c r="B917" s="11"/>
      <c r="C917" s="11"/>
      <c r="D917" s="11"/>
      <c r="E917" s="11"/>
      <c r="F917" s="11"/>
      <c r="G917" s="11"/>
      <c r="H917" s="11"/>
      <c r="I917" s="11"/>
      <c r="J917" s="11"/>
      <c r="K917" s="11"/>
      <c r="L917" s="15"/>
      <c r="M917" s="15"/>
      <c r="N917" s="15"/>
      <c r="O917" s="15"/>
      <c r="P917" s="15"/>
      <c r="Q917" s="11"/>
      <c r="R917" s="11"/>
      <c r="S917" s="11"/>
      <c r="T917" s="11"/>
      <c r="U917" s="15"/>
      <c r="V917" s="11"/>
      <c r="W917" s="11"/>
      <c r="X917" s="11"/>
      <c r="Y917" s="11"/>
      <c r="Z917" s="11"/>
    </row>
    <row r="918">
      <c r="A918" s="18"/>
      <c r="B918" s="11"/>
      <c r="C918" s="11"/>
      <c r="D918" s="11"/>
      <c r="E918" s="11"/>
      <c r="F918" s="11"/>
      <c r="G918" s="11"/>
      <c r="H918" s="11"/>
      <c r="I918" s="11"/>
      <c r="J918" s="11"/>
      <c r="K918" s="11"/>
      <c r="L918" s="15"/>
      <c r="M918" s="15"/>
      <c r="N918" s="15"/>
      <c r="O918" s="15"/>
      <c r="P918" s="15"/>
      <c r="Q918" s="11"/>
      <c r="R918" s="11"/>
      <c r="S918" s="11"/>
      <c r="T918" s="11"/>
      <c r="U918" s="15"/>
      <c r="V918" s="11"/>
      <c r="W918" s="11"/>
      <c r="X918" s="11"/>
      <c r="Y918" s="11"/>
      <c r="Z918" s="11"/>
    </row>
    <row r="919">
      <c r="A919" s="18"/>
      <c r="B919" s="11"/>
      <c r="C919" s="11"/>
      <c r="D919" s="11"/>
      <c r="E919" s="11"/>
      <c r="F919" s="11"/>
      <c r="G919" s="11"/>
      <c r="H919" s="11"/>
      <c r="I919" s="11"/>
      <c r="J919" s="11"/>
      <c r="K919" s="11"/>
      <c r="L919" s="15"/>
      <c r="M919" s="15"/>
      <c r="N919" s="15"/>
      <c r="O919" s="15"/>
      <c r="P919" s="15"/>
      <c r="Q919" s="11"/>
      <c r="R919" s="11"/>
      <c r="S919" s="11"/>
      <c r="T919" s="11"/>
      <c r="U919" s="15"/>
      <c r="V919" s="11"/>
      <c r="W919" s="11"/>
      <c r="X919" s="11"/>
      <c r="Y919" s="11"/>
      <c r="Z919" s="11"/>
    </row>
    <row r="920">
      <c r="A920" s="18"/>
      <c r="B920" s="11"/>
      <c r="C920" s="11"/>
      <c r="D920" s="11"/>
      <c r="E920" s="11"/>
      <c r="F920" s="11"/>
      <c r="G920" s="11"/>
      <c r="H920" s="11"/>
      <c r="I920" s="11"/>
      <c r="J920" s="11"/>
      <c r="K920" s="11"/>
      <c r="L920" s="15"/>
      <c r="M920" s="15"/>
      <c r="N920" s="15"/>
      <c r="O920" s="15"/>
      <c r="P920" s="15"/>
      <c r="Q920" s="11"/>
      <c r="R920" s="11"/>
      <c r="S920" s="11"/>
      <c r="T920" s="11"/>
      <c r="U920" s="15"/>
      <c r="V920" s="11"/>
      <c r="W920" s="11"/>
      <c r="X920" s="11"/>
      <c r="Y920" s="11"/>
      <c r="Z920" s="11"/>
    </row>
    <row r="921">
      <c r="A921" s="18"/>
      <c r="B921" s="11"/>
      <c r="C921" s="11"/>
      <c r="D921" s="11"/>
      <c r="E921" s="11"/>
      <c r="F921" s="11"/>
      <c r="G921" s="11"/>
      <c r="H921" s="11"/>
      <c r="I921" s="11"/>
      <c r="J921" s="11"/>
      <c r="K921" s="11"/>
      <c r="L921" s="15"/>
      <c r="M921" s="15"/>
      <c r="N921" s="15"/>
      <c r="O921" s="15"/>
      <c r="P921" s="15"/>
      <c r="Q921" s="11"/>
      <c r="R921" s="11"/>
      <c r="S921" s="11"/>
      <c r="T921" s="11"/>
      <c r="U921" s="15"/>
      <c r="V921" s="11"/>
      <c r="W921" s="11"/>
      <c r="X921" s="11"/>
      <c r="Y921" s="11"/>
      <c r="Z921" s="11"/>
    </row>
    <row r="922">
      <c r="A922" s="18"/>
      <c r="B922" s="11"/>
      <c r="C922" s="11"/>
      <c r="D922" s="11"/>
      <c r="E922" s="11"/>
      <c r="F922" s="11"/>
      <c r="G922" s="11"/>
      <c r="H922" s="11"/>
      <c r="I922" s="11"/>
      <c r="J922" s="11"/>
      <c r="K922" s="11"/>
      <c r="L922" s="15"/>
      <c r="M922" s="15"/>
      <c r="N922" s="15"/>
      <c r="O922" s="15"/>
      <c r="P922" s="15"/>
      <c r="Q922" s="11"/>
      <c r="R922" s="11"/>
      <c r="S922" s="11"/>
      <c r="T922" s="11"/>
      <c r="U922" s="15"/>
      <c r="V922" s="11"/>
      <c r="W922" s="11"/>
      <c r="X922" s="11"/>
      <c r="Y922" s="11"/>
      <c r="Z922" s="11"/>
    </row>
    <row r="923">
      <c r="A923" s="18"/>
      <c r="B923" s="11"/>
      <c r="C923" s="11"/>
      <c r="D923" s="11"/>
      <c r="E923" s="11"/>
      <c r="F923" s="11"/>
      <c r="G923" s="11"/>
      <c r="H923" s="11"/>
      <c r="I923" s="11"/>
      <c r="J923" s="11"/>
      <c r="K923" s="11"/>
      <c r="L923" s="15"/>
      <c r="M923" s="15"/>
      <c r="N923" s="15"/>
      <c r="O923" s="15"/>
      <c r="P923" s="15"/>
      <c r="Q923" s="11"/>
      <c r="R923" s="11"/>
      <c r="S923" s="11"/>
      <c r="T923" s="11"/>
      <c r="U923" s="15"/>
      <c r="V923" s="11"/>
      <c r="W923" s="11"/>
      <c r="X923" s="11"/>
      <c r="Y923" s="11"/>
      <c r="Z923" s="11"/>
    </row>
    <row r="924">
      <c r="A924" s="18"/>
      <c r="B924" s="11"/>
      <c r="C924" s="11"/>
      <c r="D924" s="11"/>
      <c r="E924" s="11"/>
      <c r="F924" s="11"/>
      <c r="G924" s="11"/>
      <c r="H924" s="11"/>
      <c r="I924" s="11"/>
      <c r="J924" s="11"/>
      <c r="K924" s="11"/>
      <c r="L924" s="15"/>
      <c r="M924" s="15"/>
      <c r="N924" s="15"/>
      <c r="O924" s="15"/>
      <c r="P924" s="15"/>
      <c r="Q924" s="11"/>
      <c r="R924" s="11"/>
      <c r="S924" s="11"/>
      <c r="T924" s="11"/>
      <c r="U924" s="15"/>
      <c r="V924" s="11"/>
      <c r="W924" s="11"/>
      <c r="X924" s="11"/>
      <c r="Y924" s="11"/>
      <c r="Z924" s="11"/>
    </row>
    <row r="925">
      <c r="A925" s="18"/>
      <c r="B925" s="11"/>
      <c r="C925" s="11"/>
      <c r="D925" s="11"/>
      <c r="E925" s="11"/>
      <c r="F925" s="11"/>
      <c r="G925" s="11"/>
      <c r="H925" s="11"/>
      <c r="I925" s="11"/>
      <c r="J925" s="11"/>
      <c r="K925" s="11"/>
      <c r="L925" s="15"/>
      <c r="M925" s="15"/>
      <c r="N925" s="15"/>
      <c r="O925" s="15"/>
      <c r="P925" s="15"/>
      <c r="Q925" s="11"/>
      <c r="R925" s="11"/>
      <c r="S925" s="11"/>
      <c r="T925" s="11"/>
      <c r="U925" s="15"/>
      <c r="V925" s="11"/>
      <c r="W925" s="11"/>
      <c r="X925" s="11"/>
      <c r="Y925" s="11"/>
      <c r="Z925" s="11"/>
    </row>
    <row r="926">
      <c r="A926" s="18"/>
      <c r="B926" s="11"/>
      <c r="C926" s="11"/>
      <c r="D926" s="11"/>
      <c r="E926" s="11"/>
      <c r="F926" s="11"/>
      <c r="G926" s="11"/>
      <c r="H926" s="11"/>
      <c r="I926" s="11"/>
      <c r="J926" s="11"/>
      <c r="K926" s="11"/>
      <c r="L926" s="15"/>
      <c r="M926" s="15"/>
      <c r="N926" s="15"/>
      <c r="O926" s="15"/>
      <c r="P926" s="15"/>
      <c r="Q926" s="11"/>
      <c r="R926" s="11"/>
      <c r="S926" s="11"/>
      <c r="T926" s="11"/>
      <c r="U926" s="15"/>
      <c r="V926" s="11"/>
      <c r="W926" s="11"/>
      <c r="X926" s="11"/>
      <c r="Y926" s="11"/>
      <c r="Z926" s="11"/>
    </row>
    <row r="927">
      <c r="A927" s="18"/>
      <c r="B927" s="11"/>
      <c r="C927" s="11"/>
      <c r="D927" s="11"/>
      <c r="E927" s="11"/>
      <c r="F927" s="11"/>
      <c r="G927" s="11"/>
      <c r="H927" s="11"/>
      <c r="I927" s="11"/>
      <c r="J927" s="11"/>
      <c r="K927" s="11"/>
      <c r="L927" s="15"/>
      <c r="M927" s="15"/>
      <c r="N927" s="15"/>
      <c r="O927" s="15"/>
      <c r="P927" s="15"/>
      <c r="Q927" s="11"/>
      <c r="R927" s="11"/>
      <c r="S927" s="11"/>
      <c r="T927" s="11"/>
      <c r="U927" s="15"/>
      <c r="V927" s="11"/>
      <c r="W927" s="11"/>
      <c r="X927" s="11"/>
      <c r="Y927" s="11"/>
      <c r="Z927" s="11"/>
    </row>
    <row r="928">
      <c r="A928" s="18"/>
      <c r="B928" s="11"/>
      <c r="C928" s="11"/>
      <c r="D928" s="11"/>
      <c r="E928" s="11"/>
      <c r="F928" s="11"/>
      <c r="G928" s="11"/>
      <c r="H928" s="11"/>
      <c r="I928" s="11"/>
      <c r="J928" s="11"/>
      <c r="K928" s="11"/>
      <c r="L928" s="15"/>
      <c r="M928" s="15"/>
      <c r="N928" s="15"/>
      <c r="O928" s="15"/>
      <c r="P928" s="15"/>
      <c r="Q928" s="11"/>
      <c r="R928" s="11"/>
      <c r="S928" s="11"/>
      <c r="T928" s="11"/>
      <c r="U928" s="15"/>
      <c r="V928" s="11"/>
      <c r="W928" s="11"/>
      <c r="X928" s="11"/>
      <c r="Y928" s="11"/>
      <c r="Z928" s="11"/>
    </row>
    <row r="929">
      <c r="A929" s="18"/>
      <c r="B929" s="11"/>
      <c r="C929" s="11"/>
      <c r="D929" s="11"/>
      <c r="E929" s="11"/>
      <c r="F929" s="11"/>
      <c r="G929" s="11"/>
      <c r="H929" s="11"/>
      <c r="I929" s="11"/>
      <c r="J929" s="11"/>
      <c r="K929" s="11"/>
      <c r="L929" s="15"/>
      <c r="M929" s="15"/>
      <c r="N929" s="15"/>
      <c r="O929" s="15"/>
      <c r="P929" s="15"/>
      <c r="Q929" s="11"/>
      <c r="R929" s="11"/>
      <c r="S929" s="11"/>
      <c r="T929" s="11"/>
      <c r="U929" s="15"/>
      <c r="V929" s="11"/>
      <c r="W929" s="11"/>
      <c r="X929" s="11"/>
      <c r="Y929" s="11"/>
      <c r="Z929" s="11"/>
    </row>
    <row r="930">
      <c r="A930" s="18"/>
      <c r="B930" s="11"/>
      <c r="C930" s="11"/>
      <c r="D930" s="11"/>
      <c r="E930" s="11"/>
      <c r="F930" s="11"/>
      <c r="G930" s="11"/>
      <c r="H930" s="11"/>
      <c r="I930" s="11"/>
      <c r="J930" s="11"/>
      <c r="K930" s="11"/>
      <c r="L930" s="15"/>
      <c r="M930" s="15"/>
      <c r="N930" s="15"/>
      <c r="O930" s="15"/>
      <c r="P930" s="15"/>
      <c r="Q930" s="11"/>
      <c r="R930" s="11"/>
      <c r="S930" s="11"/>
      <c r="T930" s="11"/>
      <c r="U930" s="15"/>
      <c r="V930" s="11"/>
      <c r="W930" s="11"/>
      <c r="X930" s="11"/>
      <c r="Y930" s="11"/>
      <c r="Z930" s="11"/>
    </row>
    <row r="931">
      <c r="A931" s="18"/>
      <c r="B931" s="11"/>
      <c r="C931" s="11"/>
      <c r="D931" s="11"/>
      <c r="E931" s="11"/>
      <c r="F931" s="11"/>
      <c r="G931" s="11"/>
      <c r="H931" s="11"/>
      <c r="I931" s="11"/>
      <c r="J931" s="11"/>
      <c r="K931" s="11"/>
      <c r="L931" s="15"/>
      <c r="M931" s="15"/>
      <c r="N931" s="15"/>
      <c r="O931" s="15"/>
      <c r="P931" s="15"/>
      <c r="Q931" s="11"/>
      <c r="R931" s="11"/>
      <c r="S931" s="11"/>
      <c r="T931" s="11"/>
      <c r="U931" s="15"/>
      <c r="V931" s="11"/>
      <c r="W931" s="11"/>
      <c r="X931" s="11"/>
      <c r="Y931" s="11"/>
      <c r="Z931" s="11"/>
    </row>
    <row r="932">
      <c r="A932" s="18"/>
      <c r="B932" s="11"/>
      <c r="C932" s="11"/>
      <c r="D932" s="11"/>
      <c r="E932" s="11"/>
      <c r="F932" s="11"/>
      <c r="G932" s="11"/>
      <c r="H932" s="11"/>
      <c r="I932" s="11"/>
      <c r="J932" s="11"/>
      <c r="K932" s="11"/>
      <c r="L932" s="15"/>
      <c r="M932" s="15"/>
      <c r="N932" s="15"/>
      <c r="O932" s="15"/>
      <c r="P932" s="15"/>
      <c r="Q932" s="11"/>
      <c r="R932" s="11"/>
      <c r="S932" s="11"/>
      <c r="T932" s="11"/>
      <c r="U932" s="15"/>
      <c r="V932" s="11"/>
      <c r="W932" s="11"/>
      <c r="X932" s="11"/>
      <c r="Y932" s="11"/>
      <c r="Z932" s="11"/>
    </row>
    <row r="933">
      <c r="A933" s="18"/>
      <c r="B933" s="11"/>
      <c r="C933" s="11"/>
      <c r="D933" s="11"/>
      <c r="E933" s="11"/>
      <c r="F933" s="11"/>
      <c r="G933" s="11"/>
      <c r="H933" s="11"/>
      <c r="I933" s="11"/>
      <c r="J933" s="11"/>
      <c r="K933" s="11"/>
      <c r="L933" s="15"/>
      <c r="M933" s="15"/>
      <c r="N933" s="15"/>
      <c r="O933" s="15"/>
      <c r="P933" s="15"/>
      <c r="Q933" s="11"/>
      <c r="R933" s="11"/>
      <c r="S933" s="11"/>
      <c r="T933" s="11"/>
      <c r="U933" s="15"/>
      <c r="V933" s="11"/>
      <c r="W933" s="11"/>
      <c r="X933" s="11"/>
      <c r="Y933" s="11"/>
      <c r="Z933" s="11"/>
    </row>
    <row r="934">
      <c r="A934" s="18"/>
      <c r="B934" s="11"/>
      <c r="C934" s="11"/>
      <c r="D934" s="11"/>
      <c r="E934" s="11"/>
      <c r="F934" s="11"/>
      <c r="G934" s="11"/>
      <c r="H934" s="11"/>
      <c r="I934" s="11"/>
      <c r="J934" s="11"/>
      <c r="K934" s="11"/>
      <c r="L934" s="15"/>
      <c r="M934" s="15"/>
      <c r="N934" s="15"/>
      <c r="O934" s="15"/>
      <c r="P934" s="15"/>
      <c r="Q934" s="11"/>
      <c r="R934" s="11"/>
      <c r="S934" s="11"/>
      <c r="T934" s="11"/>
      <c r="U934" s="15"/>
      <c r="V934" s="11"/>
      <c r="W934" s="11"/>
      <c r="X934" s="11"/>
      <c r="Y934" s="11"/>
      <c r="Z934" s="11"/>
    </row>
    <row r="935">
      <c r="A935" s="18"/>
      <c r="B935" s="11"/>
      <c r="C935" s="11"/>
      <c r="D935" s="11"/>
      <c r="E935" s="11"/>
      <c r="F935" s="11"/>
      <c r="G935" s="11"/>
      <c r="H935" s="11"/>
      <c r="I935" s="11"/>
      <c r="J935" s="11"/>
      <c r="K935" s="11"/>
      <c r="L935" s="15"/>
      <c r="M935" s="15"/>
      <c r="N935" s="15"/>
      <c r="O935" s="15"/>
      <c r="P935" s="15"/>
      <c r="Q935" s="11"/>
      <c r="R935" s="11"/>
      <c r="S935" s="11"/>
      <c r="T935" s="11"/>
      <c r="U935" s="15"/>
      <c r="V935" s="11"/>
      <c r="W935" s="11"/>
      <c r="X935" s="11"/>
      <c r="Y935" s="11"/>
      <c r="Z935" s="11"/>
    </row>
    <row r="936">
      <c r="A936" s="18"/>
      <c r="B936" s="11"/>
      <c r="C936" s="11"/>
      <c r="D936" s="11"/>
      <c r="E936" s="11"/>
      <c r="F936" s="11"/>
      <c r="G936" s="11"/>
      <c r="H936" s="11"/>
      <c r="I936" s="11"/>
      <c r="J936" s="11"/>
      <c r="K936" s="11"/>
      <c r="L936" s="15"/>
      <c r="M936" s="15"/>
      <c r="N936" s="15"/>
      <c r="O936" s="15"/>
      <c r="P936" s="15"/>
      <c r="Q936" s="11"/>
      <c r="R936" s="11"/>
      <c r="S936" s="11"/>
      <c r="T936" s="11"/>
      <c r="U936" s="15"/>
      <c r="V936" s="11"/>
      <c r="W936" s="11"/>
      <c r="X936" s="11"/>
      <c r="Y936" s="11"/>
      <c r="Z936" s="11"/>
    </row>
    <row r="937">
      <c r="A937" s="18"/>
      <c r="B937" s="11"/>
      <c r="C937" s="11"/>
      <c r="D937" s="11"/>
      <c r="E937" s="11"/>
      <c r="F937" s="11"/>
      <c r="G937" s="11"/>
      <c r="H937" s="11"/>
      <c r="I937" s="11"/>
      <c r="J937" s="11"/>
      <c r="K937" s="11"/>
      <c r="L937" s="15"/>
      <c r="M937" s="15"/>
      <c r="N937" s="15"/>
      <c r="O937" s="15"/>
      <c r="P937" s="15"/>
      <c r="Q937" s="11"/>
      <c r="R937" s="11"/>
      <c r="S937" s="11"/>
      <c r="T937" s="11"/>
      <c r="U937" s="15"/>
      <c r="V937" s="11"/>
      <c r="W937" s="11"/>
      <c r="X937" s="11"/>
      <c r="Y937" s="11"/>
      <c r="Z937" s="11"/>
    </row>
    <row r="938">
      <c r="A938" s="18"/>
      <c r="B938" s="11"/>
      <c r="C938" s="11"/>
      <c r="D938" s="11"/>
      <c r="E938" s="11"/>
      <c r="F938" s="11"/>
      <c r="G938" s="11"/>
      <c r="H938" s="11"/>
      <c r="I938" s="11"/>
      <c r="J938" s="11"/>
      <c r="K938" s="11"/>
      <c r="L938" s="15"/>
      <c r="M938" s="15"/>
      <c r="N938" s="15"/>
      <c r="O938" s="15"/>
      <c r="P938" s="15"/>
      <c r="Q938" s="11"/>
      <c r="R938" s="11"/>
      <c r="S938" s="11"/>
      <c r="T938" s="11"/>
      <c r="U938" s="15"/>
      <c r="V938" s="11"/>
      <c r="W938" s="11"/>
      <c r="X938" s="11"/>
      <c r="Y938" s="11"/>
      <c r="Z938" s="11"/>
    </row>
    <row r="939">
      <c r="A939" s="18"/>
      <c r="B939" s="11"/>
      <c r="C939" s="11"/>
      <c r="D939" s="11"/>
      <c r="E939" s="11"/>
      <c r="F939" s="11"/>
      <c r="G939" s="11"/>
      <c r="H939" s="11"/>
      <c r="I939" s="11"/>
      <c r="J939" s="11"/>
      <c r="K939" s="11"/>
      <c r="L939" s="15"/>
      <c r="M939" s="15"/>
      <c r="N939" s="15"/>
      <c r="O939" s="15"/>
      <c r="P939" s="15"/>
      <c r="Q939" s="11"/>
      <c r="R939" s="11"/>
      <c r="S939" s="11"/>
      <c r="T939" s="11"/>
      <c r="U939" s="15"/>
      <c r="V939" s="11"/>
      <c r="W939" s="11"/>
      <c r="X939" s="11"/>
      <c r="Y939" s="11"/>
      <c r="Z939" s="11"/>
    </row>
    <row r="940">
      <c r="A940" s="18"/>
      <c r="B940" s="11"/>
      <c r="C940" s="11"/>
      <c r="D940" s="11"/>
      <c r="E940" s="11"/>
      <c r="F940" s="11"/>
      <c r="G940" s="11"/>
      <c r="H940" s="11"/>
      <c r="I940" s="11"/>
      <c r="J940" s="11"/>
      <c r="K940" s="11"/>
      <c r="L940" s="15"/>
      <c r="M940" s="15"/>
      <c r="N940" s="15"/>
      <c r="O940" s="15"/>
      <c r="P940" s="15"/>
      <c r="Q940" s="11"/>
      <c r="R940" s="11"/>
      <c r="S940" s="11"/>
      <c r="T940" s="11"/>
      <c r="U940" s="15"/>
      <c r="V940" s="11"/>
      <c r="W940" s="11"/>
      <c r="X940" s="11"/>
      <c r="Y940" s="11"/>
      <c r="Z940" s="11"/>
    </row>
    <row r="941">
      <c r="A941" s="18"/>
      <c r="B941" s="11"/>
      <c r="C941" s="11"/>
      <c r="D941" s="11"/>
      <c r="E941" s="11"/>
      <c r="F941" s="11"/>
      <c r="G941" s="11"/>
      <c r="H941" s="11"/>
      <c r="I941" s="11"/>
      <c r="J941" s="11"/>
      <c r="K941" s="11"/>
      <c r="L941" s="15"/>
      <c r="M941" s="15"/>
      <c r="N941" s="15"/>
      <c r="O941" s="15"/>
      <c r="P941" s="15"/>
      <c r="Q941" s="11"/>
      <c r="R941" s="11"/>
      <c r="S941" s="11"/>
      <c r="T941" s="11"/>
      <c r="U941" s="15"/>
      <c r="V941" s="11"/>
      <c r="W941" s="11"/>
      <c r="X941" s="11"/>
      <c r="Y941" s="11"/>
      <c r="Z941" s="11"/>
    </row>
    <row r="942">
      <c r="A942" s="18"/>
      <c r="B942" s="11"/>
      <c r="C942" s="11"/>
      <c r="D942" s="11"/>
      <c r="E942" s="11"/>
      <c r="F942" s="11"/>
      <c r="G942" s="11"/>
      <c r="H942" s="11"/>
      <c r="I942" s="11"/>
      <c r="J942" s="11"/>
      <c r="K942" s="11"/>
      <c r="L942" s="15"/>
      <c r="M942" s="15"/>
      <c r="N942" s="15"/>
      <c r="O942" s="15"/>
      <c r="P942" s="15"/>
      <c r="Q942" s="11"/>
      <c r="R942" s="11"/>
      <c r="S942" s="11"/>
      <c r="T942" s="11"/>
      <c r="U942" s="15"/>
      <c r="V942" s="11"/>
      <c r="W942" s="11"/>
      <c r="X942" s="11"/>
      <c r="Y942" s="11"/>
      <c r="Z942" s="11"/>
    </row>
    <row r="943">
      <c r="A943" s="18"/>
      <c r="B943" s="11"/>
      <c r="C943" s="11"/>
      <c r="D943" s="11"/>
      <c r="E943" s="11"/>
      <c r="F943" s="11"/>
      <c r="G943" s="11"/>
      <c r="H943" s="11"/>
      <c r="I943" s="11"/>
      <c r="J943" s="11"/>
      <c r="K943" s="11"/>
      <c r="L943" s="15"/>
      <c r="M943" s="15"/>
      <c r="N943" s="15"/>
      <c r="O943" s="15"/>
      <c r="P943" s="15"/>
      <c r="Q943" s="11"/>
      <c r="R943" s="11"/>
      <c r="S943" s="11"/>
      <c r="T943" s="11"/>
      <c r="U943" s="15"/>
      <c r="V943" s="11"/>
      <c r="W943" s="11"/>
      <c r="X943" s="11"/>
      <c r="Y943" s="11"/>
      <c r="Z943" s="11"/>
    </row>
    <row r="944">
      <c r="A944" s="18"/>
      <c r="B944" s="11"/>
      <c r="C944" s="11"/>
      <c r="D944" s="11"/>
      <c r="E944" s="11"/>
      <c r="F944" s="11"/>
      <c r="G944" s="11"/>
      <c r="H944" s="11"/>
      <c r="I944" s="11"/>
      <c r="J944" s="11"/>
      <c r="K944" s="11"/>
      <c r="L944" s="15"/>
      <c r="M944" s="15"/>
      <c r="N944" s="15"/>
      <c r="O944" s="15"/>
      <c r="P944" s="15"/>
      <c r="Q944" s="11"/>
      <c r="R944" s="11"/>
      <c r="S944" s="11"/>
      <c r="T944" s="11"/>
      <c r="U944" s="15"/>
      <c r="V944" s="11"/>
      <c r="W944" s="11"/>
      <c r="X944" s="11"/>
      <c r="Y944" s="11"/>
      <c r="Z944" s="11"/>
    </row>
    <row r="945">
      <c r="A945" s="18"/>
      <c r="B945" s="11"/>
      <c r="C945" s="11"/>
      <c r="D945" s="11"/>
      <c r="E945" s="11"/>
      <c r="F945" s="11"/>
      <c r="G945" s="11"/>
      <c r="H945" s="11"/>
      <c r="I945" s="11"/>
      <c r="J945" s="11"/>
      <c r="K945" s="11"/>
      <c r="L945" s="15"/>
      <c r="M945" s="15"/>
      <c r="N945" s="15"/>
      <c r="O945" s="15"/>
      <c r="P945" s="15"/>
      <c r="Q945" s="11"/>
      <c r="R945" s="11"/>
      <c r="S945" s="11"/>
      <c r="T945" s="11"/>
      <c r="U945" s="15"/>
      <c r="V945" s="11"/>
      <c r="W945" s="11"/>
      <c r="X945" s="11"/>
      <c r="Y945" s="11"/>
      <c r="Z945" s="11"/>
    </row>
    <row r="946">
      <c r="A946" s="18"/>
      <c r="B946" s="11"/>
      <c r="C946" s="11"/>
      <c r="D946" s="11"/>
      <c r="E946" s="11"/>
      <c r="F946" s="11"/>
      <c r="G946" s="11"/>
      <c r="H946" s="11"/>
      <c r="I946" s="11"/>
      <c r="J946" s="11"/>
      <c r="K946" s="11"/>
      <c r="L946" s="15"/>
      <c r="M946" s="15"/>
      <c r="N946" s="15"/>
      <c r="O946" s="15"/>
      <c r="P946" s="15"/>
      <c r="Q946" s="11"/>
      <c r="R946" s="11"/>
      <c r="S946" s="11"/>
      <c r="T946" s="11"/>
      <c r="U946" s="15"/>
      <c r="V946" s="11"/>
      <c r="W946" s="11"/>
      <c r="X946" s="11"/>
      <c r="Y946" s="11"/>
      <c r="Z946" s="11"/>
    </row>
    <row r="947">
      <c r="A947" s="18"/>
      <c r="B947" s="11"/>
      <c r="C947" s="11"/>
      <c r="D947" s="11"/>
      <c r="E947" s="11"/>
      <c r="F947" s="11"/>
      <c r="G947" s="11"/>
      <c r="H947" s="11"/>
      <c r="I947" s="11"/>
      <c r="J947" s="11"/>
      <c r="K947" s="11"/>
      <c r="L947" s="15"/>
      <c r="M947" s="15"/>
      <c r="N947" s="15"/>
      <c r="O947" s="15"/>
      <c r="P947" s="15"/>
      <c r="Q947" s="11"/>
      <c r="R947" s="11"/>
      <c r="S947" s="11"/>
      <c r="T947" s="11"/>
      <c r="U947" s="15"/>
      <c r="V947" s="11"/>
      <c r="W947" s="11"/>
      <c r="X947" s="11"/>
      <c r="Y947" s="11"/>
      <c r="Z947" s="11"/>
    </row>
    <row r="948">
      <c r="A948" s="18"/>
      <c r="B948" s="11"/>
      <c r="C948" s="11"/>
      <c r="D948" s="11"/>
      <c r="E948" s="11"/>
      <c r="F948" s="11"/>
      <c r="G948" s="11"/>
      <c r="H948" s="11"/>
      <c r="I948" s="11"/>
      <c r="J948" s="11"/>
      <c r="K948" s="11"/>
      <c r="L948" s="15"/>
      <c r="M948" s="15"/>
      <c r="N948" s="15"/>
      <c r="O948" s="15"/>
      <c r="P948" s="15"/>
      <c r="Q948" s="11"/>
      <c r="R948" s="11"/>
      <c r="S948" s="11"/>
      <c r="T948" s="11"/>
      <c r="U948" s="15"/>
      <c r="V948" s="11"/>
      <c r="W948" s="11"/>
      <c r="X948" s="11"/>
      <c r="Y948" s="11"/>
      <c r="Z948" s="11"/>
    </row>
    <row r="949">
      <c r="A949" s="18"/>
      <c r="B949" s="11"/>
      <c r="C949" s="11"/>
      <c r="D949" s="11"/>
      <c r="E949" s="11"/>
      <c r="F949" s="11"/>
      <c r="G949" s="11"/>
      <c r="H949" s="11"/>
      <c r="I949" s="11"/>
      <c r="J949" s="11"/>
      <c r="K949" s="11"/>
      <c r="L949" s="15"/>
      <c r="M949" s="15"/>
      <c r="N949" s="15"/>
      <c r="O949" s="15"/>
      <c r="P949" s="15"/>
      <c r="Q949" s="11"/>
      <c r="R949" s="11"/>
      <c r="S949" s="11"/>
      <c r="T949" s="11"/>
      <c r="U949" s="15"/>
      <c r="V949" s="11"/>
      <c r="W949" s="11"/>
      <c r="X949" s="11"/>
      <c r="Y949" s="11"/>
      <c r="Z949" s="11"/>
    </row>
    <row r="950">
      <c r="A950" s="18"/>
      <c r="B950" s="11"/>
      <c r="C950" s="11"/>
      <c r="D950" s="11"/>
      <c r="E950" s="11"/>
      <c r="F950" s="11"/>
      <c r="G950" s="11"/>
      <c r="H950" s="11"/>
      <c r="I950" s="11"/>
      <c r="J950" s="11"/>
      <c r="K950" s="11"/>
      <c r="L950" s="15"/>
      <c r="M950" s="15"/>
      <c r="N950" s="15"/>
      <c r="O950" s="15"/>
      <c r="P950" s="15"/>
      <c r="Q950" s="11"/>
      <c r="R950" s="11"/>
      <c r="S950" s="11"/>
      <c r="T950" s="11"/>
      <c r="U950" s="15"/>
      <c r="V950" s="11"/>
      <c r="W950" s="11"/>
      <c r="X950" s="11"/>
      <c r="Y950" s="11"/>
      <c r="Z950" s="11"/>
    </row>
    <row r="951">
      <c r="A951" s="18"/>
      <c r="B951" s="11"/>
      <c r="C951" s="11"/>
      <c r="D951" s="11"/>
      <c r="E951" s="11"/>
      <c r="F951" s="11"/>
      <c r="G951" s="11"/>
      <c r="H951" s="11"/>
      <c r="I951" s="11"/>
      <c r="J951" s="11"/>
      <c r="K951" s="11"/>
      <c r="L951" s="15"/>
      <c r="M951" s="15"/>
      <c r="N951" s="15"/>
      <c r="O951" s="15"/>
      <c r="P951" s="15"/>
      <c r="Q951" s="11"/>
      <c r="R951" s="11"/>
      <c r="S951" s="11"/>
      <c r="T951" s="11"/>
      <c r="U951" s="15"/>
      <c r="V951" s="11"/>
      <c r="W951" s="11"/>
      <c r="X951" s="11"/>
      <c r="Y951" s="11"/>
      <c r="Z951" s="11"/>
    </row>
    <row r="952">
      <c r="A952" s="18"/>
      <c r="B952" s="11"/>
      <c r="C952" s="11"/>
      <c r="D952" s="11"/>
      <c r="E952" s="11"/>
      <c r="F952" s="11"/>
      <c r="G952" s="11"/>
      <c r="H952" s="11"/>
      <c r="I952" s="11"/>
      <c r="J952" s="11"/>
      <c r="K952" s="11"/>
      <c r="L952" s="15"/>
      <c r="M952" s="15"/>
      <c r="N952" s="15"/>
      <c r="O952" s="15"/>
      <c r="P952" s="15"/>
      <c r="Q952" s="11"/>
      <c r="R952" s="11"/>
      <c r="S952" s="11"/>
      <c r="T952" s="11"/>
      <c r="U952" s="15"/>
      <c r="V952" s="11"/>
      <c r="W952" s="11"/>
      <c r="X952" s="11"/>
      <c r="Y952" s="11"/>
      <c r="Z952" s="11"/>
    </row>
    <row r="953">
      <c r="A953" s="18"/>
      <c r="B953" s="11"/>
      <c r="C953" s="11"/>
      <c r="D953" s="11"/>
      <c r="E953" s="11"/>
      <c r="F953" s="11"/>
      <c r="G953" s="11"/>
      <c r="H953" s="11"/>
      <c r="I953" s="11"/>
      <c r="J953" s="11"/>
      <c r="K953" s="11"/>
      <c r="L953" s="15"/>
      <c r="M953" s="15"/>
      <c r="N953" s="15"/>
      <c r="O953" s="15"/>
      <c r="P953" s="15"/>
      <c r="Q953" s="11"/>
      <c r="R953" s="11"/>
      <c r="S953" s="11"/>
      <c r="T953" s="11"/>
      <c r="U953" s="15"/>
      <c r="V953" s="11"/>
      <c r="W953" s="11"/>
      <c r="X953" s="11"/>
      <c r="Y953" s="11"/>
      <c r="Z953" s="11"/>
    </row>
    <row r="954">
      <c r="A954" s="18"/>
      <c r="B954" s="11"/>
      <c r="C954" s="11"/>
      <c r="D954" s="11"/>
      <c r="E954" s="11"/>
      <c r="F954" s="11"/>
      <c r="G954" s="11"/>
      <c r="H954" s="11"/>
      <c r="I954" s="11"/>
      <c r="J954" s="11"/>
      <c r="K954" s="11"/>
      <c r="L954" s="15"/>
      <c r="M954" s="15"/>
      <c r="N954" s="15"/>
      <c r="O954" s="15"/>
      <c r="P954" s="15"/>
      <c r="Q954" s="11"/>
      <c r="R954" s="11"/>
      <c r="S954" s="11"/>
      <c r="T954" s="11"/>
      <c r="U954" s="15"/>
      <c r="V954" s="11"/>
      <c r="W954" s="11"/>
      <c r="X954" s="11"/>
      <c r="Y954" s="11"/>
      <c r="Z954" s="11"/>
    </row>
    <row r="955">
      <c r="A955" s="18"/>
      <c r="B955" s="11"/>
      <c r="C955" s="11"/>
      <c r="D955" s="11"/>
      <c r="E955" s="11"/>
      <c r="F955" s="11"/>
      <c r="G955" s="11"/>
      <c r="H955" s="11"/>
      <c r="I955" s="11"/>
      <c r="J955" s="11"/>
      <c r="K955" s="11"/>
      <c r="L955" s="15"/>
      <c r="M955" s="15"/>
      <c r="N955" s="15"/>
      <c r="O955" s="15"/>
      <c r="P955" s="15"/>
      <c r="Q955" s="11"/>
      <c r="R955" s="11"/>
      <c r="S955" s="11"/>
      <c r="T955" s="11"/>
      <c r="U955" s="15"/>
      <c r="V955" s="11"/>
      <c r="W955" s="11"/>
      <c r="X955" s="11"/>
      <c r="Y955" s="11"/>
      <c r="Z955" s="11"/>
    </row>
    <row r="956">
      <c r="A956" s="18"/>
      <c r="B956" s="11"/>
      <c r="C956" s="11"/>
      <c r="D956" s="11"/>
      <c r="E956" s="11"/>
      <c r="F956" s="11"/>
      <c r="G956" s="11"/>
      <c r="H956" s="11"/>
      <c r="I956" s="11"/>
      <c r="J956" s="11"/>
      <c r="K956" s="11"/>
      <c r="L956" s="15"/>
      <c r="M956" s="15"/>
      <c r="N956" s="15"/>
      <c r="O956" s="15"/>
      <c r="P956" s="15"/>
      <c r="Q956" s="11"/>
      <c r="R956" s="11"/>
      <c r="S956" s="11"/>
      <c r="T956" s="11"/>
      <c r="U956" s="15"/>
      <c r="V956" s="11"/>
      <c r="W956" s="11"/>
      <c r="X956" s="11"/>
      <c r="Y956" s="11"/>
      <c r="Z956" s="11"/>
    </row>
    <row r="957">
      <c r="A957" s="18"/>
      <c r="B957" s="11"/>
      <c r="C957" s="11"/>
      <c r="D957" s="11"/>
      <c r="E957" s="11"/>
      <c r="F957" s="11"/>
      <c r="G957" s="11"/>
      <c r="H957" s="11"/>
      <c r="I957" s="11"/>
      <c r="J957" s="11"/>
      <c r="K957" s="11"/>
      <c r="L957" s="15"/>
      <c r="M957" s="15"/>
      <c r="N957" s="15"/>
      <c r="O957" s="15"/>
      <c r="P957" s="15"/>
      <c r="Q957" s="11"/>
      <c r="R957" s="11"/>
      <c r="S957" s="11"/>
      <c r="T957" s="11"/>
      <c r="U957" s="15"/>
      <c r="V957" s="11"/>
      <c r="W957" s="11"/>
      <c r="X957" s="11"/>
      <c r="Y957" s="11"/>
      <c r="Z957" s="11"/>
    </row>
    <row r="958">
      <c r="A958" s="18"/>
      <c r="B958" s="11"/>
      <c r="C958" s="11"/>
      <c r="D958" s="11"/>
      <c r="E958" s="11"/>
      <c r="F958" s="11"/>
      <c r="G958" s="11"/>
      <c r="H958" s="11"/>
      <c r="I958" s="11"/>
      <c r="J958" s="11"/>
      <c r="K958" s="11"/>
      <c r="L958" s="15"/>
      <c r="M958" s="15"/>
      <c r="N958" s="15"/>
      <c r="O958" s="15"/>
      <c r="P958" s="15"/>
      <c r="Q958" s="11"/>
      <c r="R958" s="11"/>
      <c r="S958" s="11"/>
      <c r="T958" s="11"/>
      <c r="U958" s="15"/>
      <c r="V958" s="11"/>
      <c r="W958" s="11"/>
      <c r="X958" s="11"/>
      <c r="Y958" s="11"/>
      <c r="Z958" s="11"/>
    </row>
    <row r="959">
      <c r="A959" s="18"/>
      <c r="B959" s="11"/>
      <c r="C959" s="11"/>
      <c r="D959" s="11"/>
      <c r="E959" s="11"/>
      <c r="F959" s="11"/>
      <c r="G959" s="11"/>
      <c r="H959" s="11"/>
      <c r="I959" s="11"/>
      <c r="J959" s="11"/>
      <c r="K959" s="11"/>
      <c r="L959" s="15"/>
      <c r="M959" s="15"/>
      <c r="N959" s="15"/>
      <c r="O959" s="15"/>
      <c r="P959" s="15"/>
      <c r="Q959" s="11"/>
      <c r="R959" s="11"/>
      <c r="S959" s="11"/>
      <c r="T959" s="11"/>
      <c r="U959" s="15"/>
      <c r="V959" s="11"/>
      <c r="W959" s="11"/>
      <c r="X959" s="11"/>
      <c r="Y959" s="11"/>
      <c r="Z959" s="11"/>
    </row>
    <row r="960">
      <c r="A960" s="18"/>
      <c r="B960" s="11"/>
      <c r="C960" s="11"/>
      <c r="D960" s="11"/>
      <c r="E960" s="11"/>
      <c r="F960" s="11"/>
      <c r="G960" s="11"/>
      <c r="H960" s="11"/>
      <c r="I960" s="11"/>
      <c r="J960" s="11"/>
      <c r="K960" s="11"/>
      <c r="L960" s="15"/>
      <c r="M960" s="15"/>
      <c r="N960" s="15"/>
      <c r="O960" s="15"/>
      <c r="P960" s="15"/>
      <c r="Q960" s="11"/>
      <c r="R960" s="11"/>
      <c r="S960" s="11"/>
      <c r="T960" s="11"/>
      <c r="U960" s="15"/>
      <c r="V960" s="11"/>
      <c r="W960" s="11"/>
      <c r="X960" s="11"/>
      <c r="Y960" s="11"/>
      <c r="Z960" s="11"/>
    </row>
    <row r="961">
      <c r="A961" s="18"/>
      <c r="B961" s="11"/>
      <c r="C961" s="11"/>
      <c r="D961" s="11"/>
      <c r="E961" s="11"/>
      <c r="F961" s="11"/>
      <c r="G961" s="11"/>
      <c r="H961" s="11"/>
      <c r="I961" s="11"/>
      <c r="J961" s="11"/>
      <c r="K961" s="11"/>
      <c r="L961" s="15"/>
      <c r="M961" s="15"/>
      <c r="N961" s="15"/>
      <c r="O961" s="15"/>
      <c r="P961" s="15"/>
      <c r="Q961" s="11"/>
      <c r="R961" s="11"/>
      <c r="S961" s="11"/>
      <c r="T961" s="11"/>
      <c r="U961" s="15"/>
      <c r="V961" s="11"/>
      <c r="W961" s="11"/>
      <c r="X961" s="11"/>
      <c r="Y961" s="11"/>
      <c r="Z961" s="11"/>
    </row>
    <row r="962">
      <c r="A962" s="18"/>
      <c r="B962" s="11"/>
      <c r="C962" s="11"/>
      <c r="D962" s="11"/>
      <c r="E962" s="11"/>
      <c r="F962" s="11"/>
      <c r="G962" s="11"/>
      <c r="H962" s="11"/>
      <c r="I962" s="11"/>
      <c r="J962" s="11"/>
      <c r="K962" s="11"/>
      <c r="L962" s="15"/>
      <c r="M962" s="15"/>
      <c r="N962" s="15"/>
      <c r="O962" s="15"/>
      <c r="P962" s="15"/>
      <c r="Q962" s="11"/>
      <c r="R962" s="11"/>
      <c r="S962" s="11"/>
      <c r="T962" s="11"/>
      <c r="U962" s="15"/>
      <c r="V962" s="11"/>
      <c r="W962" s="11"/>
      <c r="X962" s="11"/>
      <c r="Y962" s="11"/>
      <c r="Z962" s="11"/>
    </row>
    <row r="963">
      <c r="A963" s="18"/>
      <c r="B963" s="11"/>
      <c r="C963" s="11"/>
      <c r="D963" s="11"/>
      <c r="E963" s="11"/>
      <c r="F963" s="11"/>
      <c r="G963" s="11"/>
      <c r="H963" s="11"/>
      <c r="I963" s="11"/>
      <c r="J963" s="11"/>
      <c r="K963" s="11"/>
      <c r="L963" s="15"/>
      <c r="M963" s="15"/>
      <c r="N963" s="15"/>
      <c r="O963" s="15"/>
      <c r="P963" s="15"/>
      <c r="Q963" s="11"/>
      <c r="R963" s="11"/>
      <c r="S963" s="11"/>
      <c r="T963" s="11"/>
      <c r="U963" s="15"/>
      <c r="V963" s="11"/>
      <c r="W963" s="11"/>
      <c r="X963" s="11"/>
      <c r="Y963" s="11"/>
      <c r="Z963" s="11"/>
    </row>
    <row r="964">
      <c r="A964" s="18"/>
      <c r="B964" s="11"/>
      <c r="C964" s="11"/>
      <c r="D964" s="11"/>
      <c r="E964" s="11"/>
      <c r="F964" s="11"/>
      <c r="G964" s="11"/>
      <c r="H964" s="11"/>
      <c r="I964" s="11"/>
      <c r="J964" s="11"/>
      <c r="K964" s="11"/>
      <c r="L964" s="15"/>
      <c r="M964" s="15"/>
      <c r="N964" s="15"/>
      <c r="O964" s="15"/>
      <c r="P964" s="15"/>
      <c r="Q964" s="11"/>
      <c r="R964" s="11"/>
      <c r="S964" s="11"/>
      <c r="T964" s="11"/>
      <c r="U964" s="15"/>
      <c r="V964" s="11"/>
      <c r="W964" s="11"/>
      <c r="X964" s="11"/>
      <c r="Y964" s="11"/>
      <c r="Z964" s="11"/>
    </row>
    <row r="965">
      <c r="A965" s="18"/>
      <c r="B965" s="11"/>
      <c r="C965" s="11"/>
      <c r="D965" s="11"/>
      <c r="E965" s="11"/>
      <c r="F965" s="11"/>
      <c r="G965" s="11"/>
      <c r="H965" s="11"/>
      <c r="I965" s="11"/>
      <c r="J965" s="11"/>
      <c r="K965" s="11"/>
      <c r="L965" s="15"/>
      <c r="M965" s="15"/>
      <c r="N965" s="15"/>
      <c r="O965" s="15"/>
      <c r="P965" s="15"/>
      <c r="Q965" s="11"/>
      <c r="R965" s="11"/>
      <c r="S965" s="11"/>
      <c r="T965" s="11"/>
      <c r="U965" s="15"/>
      <c r="V965" s="11"/>
      <c r="W965" s="11"/>
      <c r="X965" s="11"/>
      <c r="Y965" s="11"/>
      <c r="Z965" s="11"/>
    </row>
    <row r="966">
      <c r="A966" s="18"/>
      <c r="B966" s="11"/>
      <c r="C966" s="11"/>
      <c r="D966" s="11"/>
      <c r="E966" s="11"/>
      <c r="F966" s="11"/>
      <c r="G966" s="11"/>
      <c r="H966" s="11"/>
      <c r="I966" s="11"/>
      <c r="J966" s="11"/>
      <c r="K966" s="11"/>
      <c r="L966" s="15"/>
      <c r="M966" s="15"/>
      <c r="N966" s="15"/>
      <c r="O966" s="15"/>
      <c r="P966" s="15"/>
      <c r="Q966" s="11"/>
      <c r="R966" s="11"/>
      <c r="S966" s="11"/>
      <c r="T966" s="11"/>
      <c r="U966" s="15"/>
      <c r="V966" s="11"/>
      <c r="W966" s="11"/>
      <c r="X966" s="11"/>
      <c r="Y966" s="11"/>
      <c r="Z966" s="11"/>
    </row>
    <row r="967">
      <c r="A967" s="18"/>
      <c r="B967" s="11"/>
      <c r="C967" s="11"/>
      <c r="D967" s="11"/>
      <c r="E967" s="11"/>
      <c r="F967" s="11"/>
      <c r="G967" s="11"/>
      <c r="H967" s="11"/>
      <c r="I967" s="11"/>
      <c r="J967" s="11"/>
      <c r="K967" s="11"/>
      <c r="L967" s="15"/>
      <c r="M967" s="15"/>
      <c r="N967" s="15"/>
      <c r="O967" s="15"/>
      <c r="P967" s="15"/>
      <c r="Q967" s="11"/>
      <c r="R967" s="11"/>
      <c r="S967" s="11"/>
      <c r="T967" s="11"/>
      <c r="U967" s="15"/>
      <c r="V967" s="11"/>
      <c r="W967" s="11"/>
      <c r="X967" s="11"/>
      <c r="Y967" s="11"/>
      <c r="Z967" s="11"/>
    </row>
    <row r="968">
      <c r="A968" s="18"/>
      <c r="B968" s="11"/>
      <c r="C968" s="11"/>
      <c r="D968" s="11"/>
      <c r="E968" s="11"/>
      <c r="F968" s="11"/>
      <c r="G968" s="11"/>
      <c r="H968" s="11"/>
      <c r="I968" s="11"/>
      <c r="J968" s="11"/>
      <c r="K968" s="11"/>
      <c r="L968" s="15"/>
      <c r="M968" s="15"/>
      <c r="N968" s="15"/>
      <c r="O968" s="15"/>
      <c r="P968" s="15"/>
      <c r="Q968" s="11"/>
      <c r="R968" s="11"/>
      <c r="S968" s="11"/>
      <c r="T968" s="11"/>
      <c r="U968" s="15"/>
      <c r="V968" s="11"/>
      <c r="W968" s="11"/>
      <c r="X968" s="11"/>
      <c r="Y968" s="11"/>
      <c r="Z968" s="11"/>
    </row>
    <row r="969">
      <c r="A969" s="18"/>
      <c r="B969" s="11"/>
      <c r="C969" s="11"/>
      <c r="D969" s="11"/>
      <c r="E969" s="11"/>
      <c r="F969" s="11"/>
      <c r="G969" s="11"/>
      <c r="H969" s="11"/>
      <c r="I969" s="11"/>
      <c r="J969" s="11"/>
      <c r="K969" s="11"/>
      <c r="L969" s="15"/>
      <c r="M969" s="15"/>
      <c r="N969" s="15"/>
      <c r="O969" s="15"/>
      <c r="P969" s="15"/>
      <c r="Q969" s="11"/>
      <c r="R969" s="11"/>
      <c r="S969" s="11"/>
      <c r="T969" s="11"/>
      <c r="U969" s="15"/>
      <c r="V969" s="11"/>
      <c r="W969" s="11"/>
      <c r="X969" s="11"/>
      <c r="Y969" s="11"/>
      <c r="Z969" s="11"/>
    </row>
    <row r="970">
      <c r="A970" s="18"/>
      <c r="B970" s="11"/>
      <c r="C970" s="11"/>
      <c r="D970" s="11"/>
      <c r="E970" s="11"/>
      <c r="F970" s="11"/>
      <c r="G970" s="11"/>
      <c r="H970" s="11"/>
      <c r="I970" s="11"/>
      <c r="J970" s="11"/>
      <c r="K970" s="11"/>
      <c r="L970" s="15"/>
      <c r="M970" s="15"/>
      <c r="N970" s="15"/>
      <c r="O970" s="15"/>
      <c r="P970" s="15"/>
      <c r="Q970" s="11"/>
      <c r="R970" s="11"/>
      <c r="S970" s="11"/>
      <c r="T970" s="11"/>
      <c r="U970" s="15"/>
      <c r="V970" s="11"/>
      <c r="W970" s="11"/>
      <c r="X970" s="11"/>
      <c r="Y970" s="11"/>
      <c r="Z970" s="11"/>
    </row>
    <row r="971">
      <c r="A971" s="18"/>
      <c r="B971" s="11"/>
      <c r="C971" s="11"/>
      <c r="D971" s="11"/>
      <c r="E971" s="11"/>
      <c r="F971" s="11"/>
      <c r="G971" s="11"/>
      <c r="H971" s="11"/>
      <c r="I971" s="11"/>
      <c r="J971" s="11"/>
      <c r="K971" s="11"/>
      <c r="L971" s="15"/>
      <c r="M971" s="15"/>
      <c r="N971" s="15"/>
      <c r="O971" s="15"/>
      <c r="P971" s="15"/>
      <c r="Q971" s="11"/>
      <c r="R971" s="11"/>
      <c r="S971" s="11"/>
      <c r="T971" s="11"/>
      <c r="U971" s="15"/>
      <c r="V971" s="11"/>
      <c r="W971" s="11"/>
      <c r="X971" s="11"/>
      <c r="Y971" s="11"/>
      <c r="Z971" s="11"/>
    </row>
    <row r="972">
      <c r="A972" s="18"/>
      <c r="B972" s="11"/>
      <c r="C972" s="11"/>
      <c r="D972" s="11"/>
      <c r="E972" s="11"/>
      <c r="F972" s="11"/>
      <c r="G972" s="11"/>
      <c r="H972" s="11"/>
      <c r="I972" s="11"/>
      <c r="J972" s="11"/>
      <c r="K972" s="11"/>
      <c r="L972" s="15"/>
      <c r="M972" s="15"/>
      <c r="N972" s="15"/>
      <c r="O972" s="15"/>
      <c r="P972" s="15"/>
      <c r="Q972" s="11"/>
      <c r="R972" s="11"/>
      <c r="S972" s="11"/>
      <c r="T972" s="11"/>
      <c r="U972" s="15"/>
      <c r="V972" s="11"/>
      <c r="W972" s="11"/>
      <c r="X972" s="11"/>
      <c r="Y972" s="11"/>
      <c r="Z972" s="11"/>
    </row>
    <row r="973">
      <c r="A973" s="18"/>
      <c r="B973" s="11"/>
      <c r="C973" s="11"/>
      <c r="D973" s="11"/>
      <c r="E973" s="11"/>
      <c r="F973" s="11"/>
      <c r="G973" s="11"/>
      <c r="H973" s="11"/>
      <c r="I973" s="11"/>
      <c r="J973" s="11"/>
      <c r="K973" s="11"/>
      <c r="L973" s="15"/>
      <c r="M973" s="15"/>
      <c r="N973" s="15"/>
      <c r="O973" s="15"/>
      <c r="P973" s="15"/>
      <c r="Q973" s="11"/>
      <c r="R973" s="11"/>
      <c r="S973" s="11"/>
      <c r="T973" s="11"/>
      <c r="U973" s="15"/>
      <c r="V973" s="11"/>
      <c r="W973" s="11"/>
      <c r="X973" s="11"/>
      <c r="Y973" s="11"/>
      <c r="Z973" s="11"/>
    </row>
    <row r="974">
      <c r="A974" s="18"/>
      <c r="B974" s="11"/>
      <c r="C974" s="11"/>
      <c r="D974" s="11"/>
      <c r="E974" s="11"/>
      <c r="F974" s="11"/>
      <c r="G974" s="11"/>
      <c r="H974" s="11"/>
      <c r="I974" s="11"/>
      <c r="J974" s="11"/>
      <c r="K974" s="11"/>
      <c r="L974" s="15"/>
      <c r="M974" s="15"/>
      <c r="N974" s="15"/>
      <c r="O974" s="15"/>
      <c r="P974" s="15"/>
      <c r="Q974" s="11"/>
      <c r="R974" s="11"/>
      <c r="S974" s="11"/>
      <c r="T974" s="11"/>
      <c r="U974" s="15"/>
      <c r="V974" s="11"/>
      <c r="W974" s="11"/>
      <c r="X974" s="11"/>
      <c r="Y974" s="11"/>
      <c r="Z974" s="11"/>
    </row>
    <row r="975">
      <c r="A975" s="18"/>
      <c r="B975" s="11"/>
      <c r="C975" s="11"/>
      <c r="D975" s="11"/>
      <c r="E975" s="11"/>
      <c r="F975" s="11"/>
      <c r="G975" s="11"/>
      <c r="H975" s="11"/>
      <c r="I975" s="11"/>
      <c r="J975" s="11"/>
      <c r="K975" s="11"/>
      <c r="L975" s="15"/>
      <c r="M975" s="15"/>
      <c r="N975" s="15"/>
      <c r="O975" s="15"/>
      <c r="P975" s="15"/>
      <c r="Q975" s="11"/>
      <c r="R975" s="11"/>
      <c r="S975" s="11"/>
      <c r="T975" s="11"/>
      <c r="U975" s="15"/>
      <c r="V975" s="11"/>
      <c r="W975" s="11"/>
      <c r="X975" s="11"/>
      <c r="Y975" s="11"/>
      <c r="Z975" s="11"/>
    </row>
    <row r="976">
      <c r="A976" s="18"/>
      <c r="B976" s="11"/>
      <c r="C976" s="11"/>
      <c r="D976" s="11"/>
      <c r="E976" s="11"/>
      <c r="F976" s="11"/>
      <c r="G976" s="11"/>
      <c r="H976" s="11"/>
      <c r="I976" s="11"/>
      <c r="J976" s="11"/>
      <c r="K976" s="11"/>
      <c r="L976" s="15"/>
      <c r="M976" s="15"/>
      <c r="N976" s="15"/>
      <c r="O976" s="15"/>
      <c r="P976" s="15"/>
      <c r="Q976" s="11"/>
      <c r="R976" s="11"/>
      <c r="S976" s="11"/>
      <c r="T976" s="11"/>
      <c r="U976" s="15"/>
      <c r="V976" s="11"/>
      <c r="W976" s="11"/>
      <c r="X976" s="11"/>
      <c r="Y976" s="11"/>
      <c r="Z976" s="11"/>
    </row>
    <row r="977">
      <c r="A977" s="18"/>
      <c r="B977" s="11"/>
      <c r="C977" s="11"/>
      <c r="D977" s="11"/>
      <c r="E977" s="11"/>
      <c r="F977" s="11"/>
      <c r="G977" s="11"/>
      <c r="H977" s="11"/>
      <c r="I977" s="11"/>
      <c r="J977" s="11"/>
      <c r="K977" s="11"/>
      <c r="L977" s="15"/>
      <c r="M977" s="15"/>
      <c r="N977" s="15"/>
      <c r="O977" s="15"/>
      <c r="P977" s="15"/>
      <c r="Q977" s="11"/>
      <c r="R977" s="11"/>
      <c r="S977" s="11"/>
      <c r="T977" s="11"/>
      <c r="U977" s="15"/>
      <c r="V977" s="11"/>
      <c r="W977" s="11"/>
      <c r="X977" s="11"/>
      <c r="Y977" s="11"/>
      <c r="Z977" s="11"/>
    </row>
    <row r="978">
      <c r="A978" s="18"/>
      <c r="B978" s="11"/>
      <c r="C978" s="11"/>
      <c r="D978" s="11"/>
      <c r="E978" s="11"/>
      <c r="F978" s="11"/>
      <c r="G978" s="11"/>
      <c r="H978" s="11"/>
      <c r="I978" s="11"/>
      <c r="J978" s="11"/>
      <c r="K978" s="11"/>
      <c r="L978" s="15"/>
      <c r="M978" s="15"/>
      <c r="N978" s="15"/>
      <c r="O978" s="15"/>
      <c r="P978" s="15"/>
      <c r="Q978" s="11"/>
      <c r="R978" s="11"/>
      <c r="S978" s="11"/>
      <c r="T978" s="11"/>
      <c r="U978" s="15"/>
      <c r="V978" s="11"/>
      <c r="W978" s="11"/>
      <c r="X978" s="11"/>
      <c r="Y978" s="11"/>
      <c r="Z978" s="11"/>
    </row>
    <row r="979">
      <c r="A979" s="18"/>
      <c r="B979" s="11"/>
      <c r="C979" s="11"/>
      <c r="D979" s="11"/>
      <c r="E979" s="11"/>
      <c r="F979" s="11"/>
      <c r="G979" s="11"/>
      <c r="H979" s="11"/>
      <c r="I979" s="11"/>
      <c r="J979" s="11"/>
      <c r="K979" s="11"/>
      <c r="L979" s="15"/>
      <c r="M979" s="15"/>
      <c r="N979" s="15"/>
      <c r="O979" s="15"/>
      <c r="P979" s="15"/>
      <c r="Q979" s="11"/>
      <c r="R979" s="11"/>
      <c r="S979" s="11"/>
      <c r="T979" s="11"/>
      <c r="U979" s="15"/>
      <c r="V979" s="11"/>
      <c r="W979" s="11"/>
      <c r="X979" s="11"/>
      <c r="Y979" s="11"/>
      <c r="Z979" s="11"/>
    </row>
    <row r="980">
      <c r="A980" s="18"/>
      <c r="B980" s="11"/>
      <c r="C980" s="11"/>
      <c r="D980" s="11"/>
      <c r="E980" s="11"/>
      <c r="F980" s="11"/>
      <c r="G980" s="11"/>
      <c r="H980" s="11"/>
      <c r="I980" s="11"/>
      <c r="J980" s="11"/>
      <c r="K980" s="11"/>
      <c r="L980" s="15"/>
      <c r="M980" s="15"/>
      <c r="N980" s="15"/>
      <c r="O980" s="15"/>
      <c r="P980" s="15"/>
      <c r="Q980" s="11"/>
      <c r="R980" s="11"/>
      <c r="S980" s="11"/>
      <c r="T980" s="11"/>
      <c r="U980" s="15"/>
      <c r="V980" s="11"/>
      <c r="W980" s="11"/>
      <c r="X980" s="11"/>
      <c r="Y980" s="11"/>
      <c r="Z980" s="11"/>
    </row>
    <row r="981">
      <c r="A981" s="18"/>
      <c r="B981" s="11"/>
      <c r="C981" s="11"/>
      <c r="D981" s="11"/>
      <c r="E981" s="11"/>
      <c r="F981" s="11"/>
      <c r="G981" s="11"/>
      <c r="H981" s="11"/>
      <c r="I981" s="11"/>
      <c r="J981" s="11"/>
      <c r="K981" s="11"/>
      <c r="L981" s="15"/>
      <c r="M981" s="15"/>
      <c r="N981" s="15"/>
      <c r="O981" s="15"/>
      <c r="P981" s="15"/>
      <c r="Q981" s="11"/>
      <c r="R981" s="11"/>
      <c r="S981" s="11"/>
      <c r="T981" s="11"/>
      <c r="U981" s="15"/>
      <c r="V981" s="11"/>
      <c r="W981" s="11"/>
      <c r="X981" s="11"/>
      <c r="Y981" s="11"/>
      <c r="Z981" s="11"/>
    </row>
    <row r="982">
      <c r="A982" s="18"/>
      <c r="B982" s="11"/>
      <c r="C982" s="11"/>
      <c r="D982" s="11"/>
      <c r="E982" s="11"/>
      <c r="F982" s="11"/>
      <c r="G982" s="11"/>
      <c r="H982" s="11"/>
      <c r="I982" s="11"/>
      <c r="J982" s="11"/>
      <c r="K982" s="11"/>
      <c r="L982" s="15"/>
      <c r="M982" s="15"/>
      <c r="N982" s="15"/>
      <c r="O982" s="15"/>
      <c r="P982" s="15"/>
      <c r="Q982" s="11"/>
      <c r="R982" s="11"/>
      <c r="S982" s="11"/>
      <c r="T982" s="11"/>
      <c r="U982" s="15"/>
      <c r="V982" s="11"/>
      <c r="W982" s="11"/>
      <c r="X982" s="11"/>
      <c r="Y982" s="11"/>
      <c r="Z982" s="11"/>
    </row>
    <row r="983">
      <c r="A983" s="18"/>
      <c r="B983" s="11"/>
      <c r="C983" s="11"/>
      <c r="D983" s="11"/>
      <c r="E983" s="11"/>
      <c r="F983" s="11"/>
      <c r="G983" s="11"/>
      <c r="H983" s="11"/>
      <c r="I983" s="11"/>
      <c r="J983" s="11"/>
      <c r="K983" s="11"/>
      <c r="L983" s="15"/>
      <c r="M983" s="15"/>
      <c r="N983" s="15"/>
      <c r="O983" s="15"/>
      <c r="P983" s="15"/>
      <c r="Q983" s="11"/>
      <c r="R983" s="11"/>
      <c r="S983" s="11"/>
      <c r="T983" s="11"/>
      <c r="U983" s="15"/>
      <c r="V983" s="11"/>
      <c r="W983" s="11"/>
      <c r="X983" s="11"/>
      <c r="Y983" s="11"/>
      <c r="Z983" s="11"/>
    </row>
    <row r="984">
      <c r="A984" s="18"/>
      <c r="B984" s="11"/>
      <c r="C984" s="11"/>
      <c r="D984" s="11"/>
      <c r="E984" s="11"/>
      <c r="F984" s="11"/>
      <c r="G984" s="11"/>
      <c r="H984" s="11"/>
      <c r="I984" s="11"/>
      <c r="J984" s="11"/>
      <c r="K984" s="11"/>
      <c r="L984" s="15"/>
      <c r="M984" s="15"/>
      <c r="N984" s="15"/>
      <c r="O984" s="15"/>
      <c r="P984" s="15"/>
      <c r="Q984" s="11"/>
      <c r="R984" s="11"/>
      <c r="S984" s="11"/>
      <c r="T984" s="11"/>
      <c r="U984" s="15"/>
      <c r="V984" s="11"/>
      <c r="W984" s="11"/>
      <c r="X984" s="11"/>
      <c r="Y984" s="11"/>
      <c r="Z984" s="11"/>
    </row>
    <row r="985">
      <c r="A985" s="18"/>
      <c r="B985" s="11"/>
      <c r="C985" s="11"/>
      <c r="D985" s="11"/>
      <c r="E985" s="11"/>
      <c r="F985" s="11"/>
      <c r="G985" s="11"/>
      <c r="H985" s="11"/>
      <c r="I985" s="11"/>
      <c r="J985" s="11"/>
      <c r="K985" s="11"/>
      <c r="L985" s="15"/>
      <c r="M985" s="15"/>
      <c r="N985" s="15"/>
      <c r="O985" s="15"/>
      <c r="P985" s="15"/>
      <c r="Q985" s="11"/>
      <c r="R985" s="11"/>
      <c r="S985" s="11"/>
      <c r="T985" s="11"/>
      <c r="U985" s="15"/>
      <c r="V985" s="11"/>
      <c r="W985" s="11"/>
      <c r="X985" s="11"/>
      <c r="Y985" s="11"/>
      <c r="Z985" s="11"/>
    </row>
    <row r="986">
      <c r="A986" s="18"/>
      <c r="B986" s="11"/>
      <c r="C986" s="11"/>
      <c r="D986" s="11"/>
      <c r="E986" s="11"/>
      <c r="F986" s="11"/>
      <c r="G986" s="11"/>
      <c r="H986" s="11"/>
      <c r="I986" s="11"/>
      <c r="J986" s="11"/>
      <c r="K986" s="11"/>
      <c r="L986" s="15"/>
      <c r="M986" s="15"/>
      <c r="N986" s="15"/>
      <c r="O986" s="15"/>
      <c r="P986" s="15"/>
      <c r="Q986" s="11"/>
      <c r="R986" s="11"/>
      <c r="S986" s="11"/>
      <c r="T986" s="11"/>
      <c r="U986" s="15"/>
      <c r="V986" s="11"/>
      <c r="W986" s="11"/>
      <c r="X986" s="11"/>
      <c r="Y986" s="11"/>
      <c r="Z986" s="11"/>
    </row>
    <row r="987">
      <c r="A987" s="18"/>
      <c r="B987" s="11"/>
      <c r="C987" s="11"/>
      <c r="D987" s="11"/>
      <c r="E987" s="11"/>
      <c r="F987" s="11"/>
      <c r="G987" s="11"/>
      <c r="H987" s="11"/>
      <c r="I987" s="11"/>
      <c r="J987" s="11"/>
      <c r="K987" s="11"/>
      <c r="L987" s="15"/>
      <c r="M987" s="15"/>
      <c r="N987" s="15"/>
      <c r="O987" s="15"/>
      <c r="P987" s="15"/>
      <c r="Q987" s="11"/>
      <c r="R987" s="11"/>
      <c r="S987" s="11"/>
      <c r="T987" s="11"/>
      <c r="U987" s="15"/>
      <c r="V987" s="11"/>
      <c r="W987" s="11"/>
      <c r="X987" s="11"/>
      <c r="Y987" s="11"/>
      <c r="Z987" s="11"/>
    </row>
    <row r="988">
      <c r="A988" s="18"/>
      <c r="B988" s="11"/>
      <c r="C988" s="11"/>
      <c r="D988" s="11"/>
      <c r="E988" s="11"/>
      <c r="F988" s="11"/>
      <c r="G988" s="11"/>
      <c r="H988" s="11"/>
      <c r="I988" s="11"/>
      <c r="J988" s="11"/>
      <c r="K988" s="11"/>
      <c r="L988" s="15"/>
      <c r="M988" s="15"/>
      <c r="N988" s="15"/>
      <c r="O988" s="15"/>
      <c r="P988" s="15"/>
      <c r="Q988" s="11"/>
      <c r="R988" s="11"/>
      <c r="S988" s="11"/>
      <c r="T988" s="11"/>
      <c r="U988" s="15"/>
      <c r="V988" s="11"/>
      <c r="W988" s="11"/>
      <c r="X988" s="11"/>
      <c r="Y988" s="11"/>
      <c r="Z988" s="11"/>
    </row>
    <row r="989">
      <c r="A989" s="18"/>
      <c r="B989" s="11"/>
      <c r="C989" s="11"/>
      <c r="D989" s="11"/>
      <c r="E989" s="11"/>
      <c r="F989" s="11"/>
      <c r="G989" s="11"/>
      <c r="H989" s="11"/>
      <c r="I989" s="11"/>
      <c r="J989" s="11"/>
      <c r="K989" s="11"/>
      <c r="L989" s="15"/>
      <c r="M989" s="15"/>
      <c r="N989" s="15"/>
      <c r="O989" s="15"/>
      <c r="P989" s="15"/>
      <c r="Q989" s="11"/>
      <c r="R989" s="11"/>
      <c r="S989" s="11"/>
      <c r="T989" s="11"/>
      <c r="U989" s="15"/>
      <c r="V989" s="11"/>
      <c r="W989" s="11"/>
      <c r="X989" s="11"/>
      <c r="Y989" s="11"/>
      <c r="Z989" s="11"/>
    </row>
    <row r="990">
      <c r="A990" s="18"/>
      <c r="B990" s="11"/>
      <c r="C990" s="11"/>
      <c r="D990" s="11"/>
      <c r="E990" s="11"/>
      <c r="F990" s="11"/>
      <c r="G990" s="11"/>
      <c r="H990" s="11"/>
      <c r="I990" s="11"/>
      <c r="J990" s="11"/>
      <c r="K990" s="11"/>
      <c r="L990" s="15"/>
      <c r="M990" s="15"/>
      <c r="N990" s="15"/>
      <c r="O990" s="15"/>
      <c r="P990" s="15"/>
      <c r="Q990" s="11"/>
      <c r="R990" s="11"/>
      <c r="S990" s="11"/>
      <c r="T990" s="11"/>
      <c r="U990" s="15"/>
      <c r="V990" s="11"/>
      <c r="W990" s="11"/>
      <c r="X990" s="11"/>
      <c r="Y990" s="11"/>
      <c r="Z990" s="11"/>
    </row>
    <row r="991">
      <c r="A991" s="18"/>
      <c r="B991" s="11"/>
      <c r="C991" s="11"/>
      <c r="D991" s="11"/>
      <c r="E991" s="11"/>
      <c r="F991" s="11"/>
      <c r="G991" s="11"/>
      <c r="H991" s="11"/>
      <c r="I991" s="11"/>
      <c r="J991" s="11"/>
      <c r="K991" s="11"/>
      <c r="L991" s="15"/>
      <c r="M991" s="15"/>
      <c r="N991" s="15"/>
      <c r="O991" s="15"/>
      <c r="P991" s="15"/>
      <c r="Q991" s="11"/>
      <c r="R991" s="11"/>
      <c r="S991" s="11"/>
      <c r="T991" s="11"/>
      <c r="U991" s="15"/>
      <c r="V991" s="11"/>
      <c r="W991" s="11"/>
      <c r="X991" s="11"/>
      <c r="Y991" s="11"/>
      <c r="Z991" s="11"/>
    </row>
    <row r="992">
      <c r="A992" s="18"/>
      <c r="B992" s="11"/>
      <c r="C992" s="11"/>
      <c r="D992" s="11"/>
      <c r="E992" s="11"/>
      <c r="F992" s="11"/>
      <c r="G992" s="11"/>
      <c r="H992" s="11"/>
      <c r="I992" s="11"/>
      <c r="J992" s="11"/>
      <c r="K992" s="11"/>
      <c r="L992" s="15"/>
      <c r="M992" s="15"/>
      <c r="N992" s="15"/>
      <c r="O992" s="15"/>
      <c r="P992" s="15"/>
      <c r="Q992" s="11"/>
      <c r="R992" s="11"/>
      <c r="S992" s="11"/>
      <c r="T992" s="11"/>
      <c r="U992" s="15"/>
      <c r="V992" s="11"/>
      <c r="W992" s="11"/>
      <c r="X992" s="11"/>
      <c r="Y992" s="11"/>
      <c r="Z992" s="11"/>
    </row>
    <row r="993">
      <c r="A993" s="18"/>
      <c r="B993" s="11"/>
      <c r="C993" s="11"/>
      <c r="D993" s="11"/>
      <c r="E993" s="11"/>
      <c r="F993" s="11"/>
      <c r="G993" s="11"/>
      <c r="H993" s="11"/>
      <c r="I993" s="11"/>
      <c r="J993" s="11"/>
      <c r="K993" s="11"/>
      <c r="L993" s="15"/>
      <c r="M993" s="15"/>
      <c r="N993" s="15"/>
      <c r="O993" s="15"/>
      <c r="P993" s="15"/>
      <c r="Q993" s="11"/>
      <c r="R993" s="11"/>
      <c r="S993" s="11"/>
      <c r="T993" s="11"/>
      <c r="U993" s="15"/>
      <c r="V993" s="11"/>
      <c r="W993" s="11"/>
      <c r="X993" s="11"/>
      <c r="Y993" s="11"/>
      <c r="Z993" s="11"/>
    </row>
    <row r="994">
      <c r="A994" s="18"/>
      <c r="B994" s="11"/>
      <c r="C994" s="11"/>
      <c r="D994" s="11"/>
      <c r="E994" s="11"/>
      <c r="F994" s="11"/>
      <c r="G994" s="11"/>
      <c r="H994" s="11"/>
      <c r="I994" s="11"/>
      <c r="J994" s="11"/>
      <c r="K994" s="11"/>
      <c r="L994" s="15"/>
      <c r="M994" s="15"/>
      <c r="N994" s="15"/>
      <c r="O994" s="15"/>
      <c r="P994" s="15"/>
      <c r="Q994" s="11"/>
      <c r="R994" s="11"/>
      <c r="S994" s="11"/>
      <c r="T994" s="11"/>
      <c r="U994" s="15"/>
      <c r="V994" s="11"/>
      <c r="W994" s="11"/>
      <c r="X994" s="11"/>
      <c r="Y994" s="11"/>
      <c r="Z994" s="11"/>
    </row>
    <row r="995">
      <c r="A995" s="18"/>
      <c r="B995" s="11"/>
      <c r="C995" s="11"/>
      <c r="D995" s="11"/>
      <c r="E995" s="11"/>
      <c r="F995" s="11"/>
      <c r="G995" s="11"/>
      <c r="H995" s="11"/>
      <c r="I995" s="11"/>
      <c r="J995" s="11"/>
      <c r="K995" s="11"/>
      <c r="L995" s="15"/>
      <c r="M995" s="15"/>
      <c r="N995" s="15"/>
      <c r="O995" s="15"/>
      <c r="P995" s="15"/>
      <c r="Q995" s="11"/>
      <c r="R995" s="11"/>
      <c r="S995" s="11"/>
      <c r="T995" s="11"/>
      <c r="U995" s="15"/>
      <c r="V995" s="11"/>
      <c r="W995" s="11"/>
      <c r="X995" s="11"/>
      <c r="Y995" s="11"/>
      <c r="Z995" s="11"/>
    </row>
    <row r="996">
      <c r="A996" s="18"/>
      <c r="B996" s="11"/>
      <c r="C996" s="11"/>
      <c r="D996" s="11"/>
      <c r="E996" s="11"/>
      <c r="F996" s="11"/>
      <c r="G996" s="11"/>
      <c r="H996" s="11"/>
      <c r="I996" s="11"/>
      <c r="J996" s="11"/>
      <c r="K996" s="11"/>
      <c r="L996" s="15"/>
      <c r="M996" s="15"/>
      <c r="N996" s="15"/>
      <c r="O996" s="15"/>
      <c r="P996" s="15"/>
      <c r="Q996" s="11"/>
      <c r="R996" s="11"/>
      <c r="S996" s="11"/>
      <c r="T996" s="11"/>
      <c r="U996" s="15"/>
      <c r="V996" s="11"/>
      <c r="W996" s="11"/>
      <c r="X996" s="11"/>
      <c r="Y996" s="11"/>
      <c r="Z996" s="11"/>
    </row>
    <row r="997">
      <c r="A997" s="18"/>
      <c r="B997" s="11"/>
      <c r="C997" s="11"/>
      <c r="D997" s="11"/>
      <c r="E997" s="11"/>
      <c r="F997" s="11"/>
      <c r="G997" s="11"/>
      <c r="H997" s="11"/>
      <c r="I997" s="11"/>
      <c r="J997" s="11"/>
      <c r="K997" s="11"/>
      <c r="L997" s="15"/>
      <c r="M997" s="15"/>
      <c r="N997" s="15"/>
      <c r="O997" s="15"/>
      <c r="P997" s="15"/>
      <c r="Q997" s="11"/>
      <c r="R997" s="11"/>
      <c r="S997" s="11"/>
      <c r="T997" s="11"/>
      <c r="U997" s="15"/>
      <c r="V997" s="11"/>
      <c r="W997" s="11"/>
      <c r="X997" s="11"/>
      <c r="Y997" s="11"/>
      <c r="Z997" s="11"/>
    </row>
    <row r="998">
      <c r="A998" s="18"/>
      <c r="B998" s="11"/>
      <c r="C998" s="11"/>
      <c r="D998" s="11"/>
      <c r="E998" s="11"/>
      <c r="F998" s="11"/>
      <c r="G998" s="11"/>
      <c r="H998" s="11"/>
      <c r="I998" s="11"/>
      <c r="J998" s="11"/>
      <c r="K998" s="11"/>
      <c r="L998" s="15"/>
      <c r="M998" s="15"/>
      <c r="N998" s="15"/>
      <c r="O998" s="15"/>
      <c r="P998" s="15"/>
      <c r="Q998" s="11"/>
      <c r="R998" s="11"/>
      <c r="S998" s="11"/>
      <c r="T998" s="11"/>
      <c r="U998" s="15"/>
      <c r="V998" s="11"/>
      <c r="W998" s="11"/>
      <c r="X998" s="11"/>
      <c r="Y998" s="11"/>
      <c r="Z998" s="11"/>
    </row>
    <row r="999">
      <c r="A999" s="18"/>
      <c r="B999" s="11"/>
      <c r="C999" s="11"/>
      <c r="D999" s="11"/>
      <c r="E999" s="11"/>
      <c r="F999" s="11"/>
      <c r="G999" s="11"/>
      <c r="H999" s="11"/>
      <c r="I999" s="11"/>
      <c r="J999" s="11"/>
      <c r="K999" s="11"/>
      <c r="L999" s="15"/>
      <c r="M999" s="15"/>
      <c r="N999" s="15"/>
      <c r="O999" s="15"/>
      <c r="P999" s="15"/>
      <c r="Q999" s="11"/>
      <c r="R999" s="11"/>
      <c r="S999" s="11"/>
      <c r="T999" s="11"/>
      <c r="U999" s="15"/>
      <c r="V999" s="11"/>
      <c r="W999" s="11"/>
      <c r="X999" s="11"/>
      <c r="Y999" s="11"/>
      <c r="Z999" s="11"/>
    </row>
    <row r="1000">
      <c r="A1000" s="18"/>
      <c r="B1000" s="11"/>
      <c r="C1000" s="11"/>
      <c r="D1000" s="11"/>
      <c r="E1000" s="11"/>
      <c r="F1000" s="11"/>
      <c r="G1000" s="11"/>
      <c r="H1000" s="11"/>
      <c r="I1000" s="11"/>
      <c r="J1000" s="11"/>
      <c r="K1000" s="11"/>
      <c r="L1000" s="15"/>
      <c r="M1000" s="15"/>
      <c r="N1000" s="15"/>
      <c r="O1000" s="15"/>
      <c r="P1000" s="15"/>
      <c r="Q1000" s="11"/>
      <c r="R1000" s="11"/>
      <c r="S1000" s="11"/>
      <c r="T1000" s="11"/>
      <c r="U1000" s="15"/>
      <c r="V1000" s="11"/>
      <c r="W1000" s="11"/>
      <c r="X1000" s="11"/>
      <c r="Y1000" s="11"/>
      <c r="Z1000" s="11"/>
    </row>
    <row r="1001">
      <c r="A1001" s="18"/>
      <c r="B1001" s="11"/>
      <c r="C1001" s="11"/>
      <c r="D1001" s="11"/>
      <c r="E1001" s="11"/>
      <c r="F1001" s="11"/>
      <c r="G1001" s="11"/>
      <c r="H1001" s="11"/>
      <c r="I1001" s="11"/>
      <c r="J1001" s="11"/>
      <c r="K1001" s="11"/>
      <c r="L1001" s="15"/>
      <c r="M1001" s="15"/>
      <c r="N1001" s="15"/>
      <c r="O1001" s="15"/>
      <c r="P1001" s="15"/>
      <c r="Q1001" s="11"/>
      <c r="R1001" s="11"/>
      <c r="S1001" s="11"/>
      <c r="T1001" s="11"/>
      <c r="U1001" s="15"/>
      <c r="V1001" s="11"/>
      <c r="W1001" s="11"/>
      <c r="X1001" s="11"/>
      <c r="Y1001" s="11"/>
      <c r="Z1001" s="11"/>
    </row>
    <row r="1002">
      <c r="A1002" s="18"/>
      <c r="B1002" s="11"/>
      <c r="C1002" s="11"/>
      <c r="D1002" s="11"/>
      <c r="E1002" s="11"/>
      <c r="F1002" s="11"/>
      <c r="G1002" s="11"/>
      <c r="H1002" s="11"/>
      <c r="I1002" s="11"/>
      <c r="J1002" s="11"/>
      <c r="K1002" s="11"/>
      <c r="L1002" s="15"/>
      <c r="M1002" s="15"/>
      <c r="N1002" s="15"/>
      <c r="O1002" s="15"/>
      <c r="P1002" s="15"/>
      <c r="Q1002" s="11"/>
      <c r="R1002" s="11"/>
      <c r="S1002" s="11"/>
      <c r="T1002" s="11"/>
      <c r="U1002" s="15"/>
      <c r="V1002" s="11"/>
      <c r="W1002" s="11"/>
      <c r="X1002" s="11"/>
      <c r="Y1002" s="11"/>
      <c r="Z1002" s="11"/>
    </row>
    <row r="1003">
      <c r="A1003" s="18"/>
      <c r="B1003" s="11"/>
      <c r="C1003" s="11"/>
      <c r="D1003" s="11"/>
      <c r="E1003" s="11"/>
      <c r="F1003" s="11"/>
      <c r="G1003" s="11"/>
      <c r="H1003" s="11"/>
      <c r="I1003" s="11"/>
      <c r="J1003" s="11"/>
      <c r="K1003" s="11"/>
      <c r="L1003" s="15"/>
      <c r="M1003" s="15"/>
      <c r="N1003" s="15"/>
      <c r="O1003" s="15"/>
      <c r="P1003" s="15"/>
      <c r="Q1003" s="11"/>
      <c r="R1003" s="11"/>
      <c r="S1003" s="11"/>
      <c r="T1003" s="11"/>
      <c r="U1003" s="15"/>
      <c r="V1003" s="11"/>
      <c r="W1003" s="11"/>
      <c r="X1003" s="11"/>
      <c r="Y1003" s="11"/>
      <c r="Z1003" s="11"/>
    </row>
    <row r="1004">
      <c r="A1004" s="18"/>
      <c r="B1004" s="11"/>
      <c r="C1004" s="11"/>
      <c r="D1004" s="11"/>
      <c r="E1004" s="11"/>
      <c r="F1004" s="11"/>
      <c r="G1004" s="11"/>
      <c r="H1004" s="11"/>
      <c r="I1004" s="11"/>
      <c r="J1004" s="11"/>
      <c r="K1004" s="11"/>
      <c r="L1004" s="15"/>
      <c r="M1004" s="15"/>
      <c r="N1004" s="15"/>
      <c r="O1004" s="15"/>
      <c r="P1004" s="15"/>
      <c r="Q1004" s="11"/>
      <c r="R1004" s="11"/>
      <c r="S1004" s="11"/>
      <c r="T1004" s="11"/>
      <c r="U1004" s="15"/>
      <c r="V1004" s="11"/>
      <c r="W1004" s="11"/>
      <c r="X1004" s="11"/>
      <c r="Y1004" s="11"/>
      <c r="Z1004" s="11"/>
    </row>
    <row r="1005">
      <c r="A1005" s="18"/>
      <c r="B1005" s="11"/>
      <c r="C1005" s="11"/>
      <c r="D1005" s="11"/>
      <c r="E1005" s="11"/>
      <c r="F1005" s="11"/>
      <c r="G1005" s="11"/>
      <c r="H1005" s="11"/>
      <c r="I1005" s="11"/>
      <c r="J1005" s="11"/>
      <c r="K1005" s="11"/>
      <c r="L1005" s="15"/>
      <c r="M1005" s="15"/>
      <c r="N1005" s="15"/>
      <c r="O1005" s="15"/>
      <c r="P1005" s="15"/>
      <c r="Q1005" s="11"/>
      <c r="R1005" s="11"/>
      <c r="S1005" s="11"/>
      <c r="T1005" s="11"/>
      <c r="U1005" s="15"/>
      <c r="V1005" s="11"/>
      <c r="W1005" s="11"/>
      <c r="X1005" s="11"/>
      <c r="Y1005" s="11"/>
      <c r="Z1005" s="11"/>
    </row>
    <row r="1006">
      <c r="A1006" s="18"/>
      <c r="B1006" s="11"/>
      <c r="C1006" s="11"/>
      <c r="D1006" s="11"/>
      <c r="E1006" s="11"/>
      <c r="F1006" s="11"/>
      <c r="G1006" s="11"/>
      <c r="H1006" s="11"/>
      <c r="I1006" s="11"/>
      <c r="J1006" s="11"/>
      <c r="K1006" s="11"/>
      <c r="L1006" s="15"/>
      <c r="M1006" s="15"/>
      <c r="N1006" s="15"/>
      <c r="O1006" s="15"/>
      <c r="P1006" s="15"/>
      <c r="Q1006" s="11"/>
      <c r="R1006" s="11"/>
      <c r="S1006" s="11"/>
      <c r="T1006" s="11"/>
      <c r="U1006" s="15"/>
      <c r="V1006" s="11"/>
      <c r="W1006" s="11"/>
      <c r="X1006" s="11"/>
      <c r="Y1006" s="11"/>
      <c r="Z1006" s="11"/>
    </row>
    <row r="1007">
      <c r="A1007" s="18"/>
      <c r="B1007" s="11"/>
      <c r="C1007" s="11"/>
      <c r="D1007" s="11"/>
      <c r="E1007" s="11"/>
      <c r="F1007" s="11"/>
      <c r="G1007" s="11"/>
      <c r="H1007" s="11"/>
      <c r="I1007" s="11"/>
      <c r="J1007" s="11"/>
      <c r="K1007" s="11"/>
      <c r="L1007" s="15"/>
      <c r="M1007" s="15"/>
      <c r="N1007" s="15"/>
      <c r="O1007" s="15"/>
      <c r="P1007" s="15"/>
      <c r="Q1007" s="11"/>
      <c r="R1007" s="11"/>
      <c r="S1007" s="11"/>
      <c r="T1007" s="11"/>
      <c r="U1007" s="15"/>
      <c r="V1007" s="11"/>
      <c r="W1007" s="11"/>
      <c r="X1007" s="11"/>
      <c r="Y1007" s="11"/>
      <c r="Z1007" s="11"/>
    </row>
    <row r="1008">
      <c r="A1008" s="18"/>
      <c r="B1008" s="11"/>
      <c r="C1008" s="11"/>
      <c r="D1008" s="11"/>
      <c r="E1008" s="11"/>
      <c r="F1008" s="11"/>
      <c r="G1008" s="11"/>
      <c r="H1008" s="11"/>
      <c r="I1008" s="11"/>
      <c r="J1008" s="11"/>
      <c r="K1008" s="11"/>
      <c r="L1008" s="15"/>
      <c r="M1008" s="15"/>
      <c r="N1008" s="15"/>
      <c r="O1008" s="15"/>
      <c r="P1008" s="15"/>
      <c r="Q1008" s="11"/>
      <c r="R1008" s="11"/>
      <c r="S1008" s="11"/>
      <c r="T1008" s="11"/>
      <c r="U1008" s="15"/>
      <c r="V1008" s="11"/>
      <c r="W1008" s="11"/>
      <c r="X1008" s="11"/>
      <c r="Y1008" s="11"/>
      <c r="Z1008" s="11"/>
    </row>
    <row r="1009">
      <c r="A1009" s="18"/>
      <c r="B1009" s="11"/>
      <c r="C1009" s="11"/>
      <c r="D1009" s="11"/>
      <c r="E1009" s="11"/>
      <c r="F1009" s="11"/>
      <c r="G1009" s="11"/>
      <c r="H1009" s="11"/>
      <c r="I1009" s="11"/>
      <c r="J1009" s="11"/>
      <c r="K1009" s="11"/>
      <c r="L1009" s="15"/>
      <c r="M1009" s="15"/>
      <c r="N1009" s="15"/>
      <c r="O1009" s="15"/>
      <c r="P1009" s="15"/>
      <c r="Q1009" s="11"/>
      <c r="R1009" s="11"/>
      <c r="S1009" s="11"/>
      <c r="T1009" s="11"/>
      <c r="U1009" s="15"/>
      <c r="V1009" s="11"/>
      <c r="W1009" s="11"/>
      <c r="X1009" s="11"/>
      <c r="Y1009" s="11"/>
      <c r="Z1009" s="11"/>
    </row>
    <row r="1010">
      <c r="A1010" s="18"/>
      <c r="B1010" s="11"/>
      <c r="C1010" s="11"/>
      <c r="D1010" s="11"/>
      <c r="E1010" s="11"/>
      <c r="F1010" s="11"/>
      <c r="G1010" s="11"/>
      <c r="H1010" s="11"/>
      <c r="I1010" s="11"/>
      <c r="J1010" s="11"/>
      <c r="K1010" s="11"/>
      <c r="L1010" s="15"/>
      <c r="M1010" s="15"/>
      <c r="N1010" s="15"/>
      <c r="O1010" s="15"/>
      <c r="P1010" s="15"/>
      <c r="Q1010" s="11"/>
      <c r="R1010" s="11"/>
      <c r="S1010" s="11"/>
      <c r="T1010" s="11"/>
      <c r="U1010" s="15"/>
      <c r="V1010" s="11"/>
      <c r="W1010" s="11"/>
      <c r="X1010" s="11"/>
      <c r="Y1010" s="11"/>
      <c r="Z1010" s="11"/>
    </row>
    <row r="1011">
      <c r="A1011" s="18"/>
      <c r="B1011" s="11"/>
      <c r="C1011" s="11"/>
      <c r="D1011" s="11"/>
      <c r="E1011" s="11"/>
      <c r="F1011" s="11"/>
      <c r="G1011" s="11"/>
      <c r="H1011" s="11"/>
      <c r="I1011" s="11"/>
      <c r="J1011" s="11"/>
      <c r="K1011" s="11"/>
      <c r="L1011" s="15"/>
      <c r="M1011" s="15"/>
      <c r="N1011" s="15"/>
      <c r="O1011" s="15"/>
      <c r="P1011" s="15"/>
      <c r="Q1011" s="11"/>
      <c r="R1011" s="11"/>
      <c r="S1011" s="11"/>
      <c r="T1011" s="11"/>
      <c r="U1011" s="15"/>
      <c r="V1011" s="11"/>
      <c r="W1011" s="11"/>
      <c r="X1011" s="11"/>
      <c r="Y1011" s="11"/>
      <c r="Z1011" s="11"/>
    </row>
    <row r="1012">
      <c r="A1012" s="18"/>
      <c r="B1012" s="11"/>
      <c r="C1012" s="11"/>
      <c r="D1012" s="11"/>
      <c r="E1012" s="11"/>
      <c r="F1012" s="11"/>
      <c r="G1012" s="11"/>
      <c r="H1012" s="11"/>
      <c r="I1012" s="11"/>
      <c r="J1012" s="11"/>
      <c r="K1012" s="11"/>
      <c r="L1012" s="15"/>
      <c r="M1012" s="15"/>
      <c r="N1012" s="15"/>
      <c r="O1012" s="15"/>
      <c r="P1012" s="15"/>
      <c r="Q1012" s="11"/>
      <c r="R1012" s="11"/>
      <c r="S1012" s="11"/>
      <c r="T1012" s="11"/>
      <c r="U1012" s="15"/>
      <c r="V1012" s="11"/>
      <c r="W1012" s="11"/>
      <c r="X1012" s="11"/>
      <c r="Y1012" s="11"/>
      <c r="Z1012" s="11"/>
    </row>
    <row r="1013">
      <c r="A1013" s="18"/>
      <c r="B1013" s="11"/>
      <c r="C1013" s="11"/>
      <c r="D1013" s="11"/>
      <c r="E1013" s="11"/>
      <c r="F1013" s="11"/>
      <c r="G1013" s="11"/>
      <c r="H1013" s="11"/>
      <c r="I1013" s="11"/>
      <c r="J1013" s="11"/>
      <c r="K1013" s="11"/>
      <c r="L1013" s="15"/>
      <c r="M1013" s="15"/>
      <c r="N1013" s="15"/>
      <c r="O1013" s="15"/>
      <c r="P1013" s="15"/>
      <c r="Q1013" s="11"/>
      <c r="R1013" s="11"/>
      <c r="S1013" s="11"/>
      <c r="T1013" s="11"/>
      <c r="U1013" s="15"/>
      <c r="V1013" s="11"/>
      <c r="W1013" s="11"/>
      <c r="X1013" s="11"/>
      <c r="Y1013" s="11"/>
      <c r="Z1013" s="11"/>
    </row>
    <row r="1014">
      <c r="A1014" s="18"/>
      <c r="B1014" s="11"/>
      <c r="C1014" s="11"/>
      <c r="D1014" s="11"/>
      <c r="E1014" s="11"/>
      <c r="F1014" s="11"/>
      <c r="G1014" s="11"/>
      <c r="H1014" s="11"/>
      <c r="I1014" s="11"/>
      <c r="J1014" s="11"/>
      <c r="K1014" s="11"/>
      <c r="L1014" s="15"/>
      <c r="M1014" s="15"/>
      <c r="N1014" s="15"/>
      <c r="O1014" s="15"/>
      <c r="P1014" s="15"/>
      <c r="Q1014" s="11"/>
      <c r="R1014" s="11"/>
      <c r="S1014" s="11"/>
      <c r="T1014" s="11"/>
      <c r="U1014" s="15"/>
      <c r="V1014" s="11"/>
      <c r="W1014" s="11"/>
      <c r="X1014" s="11"/>
      <c r="Y1014" s="11"/>
      <c r="Z1014" s="11"/>
    </row>
    <row r="1015">
      <c r="A1015" s="18"/>
      <c r="B1015" s="11"/>
      <c r="C1015" s="11"/>
      <c r="D1015" s="11"/>
      <c r="E1015" s="11"/>
      <c r="F1015" s="11"/>
      <c r="G1015" s="11"/>
      <c r="H1015" s="11"/>
      <c r="I1015" s="11"/>
      <c r="J1015" s="11"/>
      <c r="K1015" s="11"/>
      <c r="L1015" s="15"/>
      <c r="M1015" s="15"/>
      <c r="N1015" s="15"/>
      <c r="O1015" s="15"/>
      <c r="P1015" s="15"/>
      <c r="Q1015" s="11"/>
      <c r="R1015" s="11"/>
      <c r="S1015" s="11"/>
      <c r="T1015" s="11"/>
      <c r="U1015" s="15"/>
      <c r="V1015" s="11"/>
      <c r="W1015" s="11"/>
      <c r="X1015" s="11"/>
      <c r="Y1015" s="11"/>
      <c r="Z1015" s="11"/>
    </row>
    <row r="1016">
      <c r="A1016" s="18"/>
      <c r="B1016" s="11"/>
      <c r="C1016" s="11"/>
      <c r="D1016" s="11"/>
      <c r="E1016" s="11"/>
      <c r="F1016" s="11"/>
      <c r="G1016" s="11"/>
      <c r="H1016" s="11"/>
      <c r="I1016" s="11"/>
      <c r="J1016" s="11"/>
      <c r="K1016" s="11"/>
      <c r="L1016" s="15"/>
      <c r="M1016" s="15"/>
      <c r="N1016" s="15"/>
      <c r="O1016" s="15"/>
      <c r="P1016" s="15"/>
      <c r="Q1016" s="11"/>
      <c r="R1016" s="11"/>
      <c r="S1016" s="11"/>
      <c r="T1016" s="11"/>
      <c r="U1016" s="15"/>
      <c r="V1016" s="11"/>
      <c r="W1016" s="11"/>
      <c r="X1016" s="11"/>
      <c r="Y1016" s="11"/>
      <c r="Z1016" s="11"/>
    </row>
    <row r="1017">
      <c r="A1017" s="18"/>
      <c r="B1017" s="11"/>
      <c r="C1017" s="11"/>
      <c r="D1017" s="11"/>
      <c r="E1017" s="11"/>
      <c r="F1017" s="11"/>
      <c r="G1017" s="11"/>
      <c r="H1017" s="11"/>
      <c r="I1017" s="11"/>
      <c r="J1017" s="11"/>
      <c r="K1017" s="11"/>
      <c r="L1017" s="15"/>
      <c r="M1017" s="15"/>
      <c r="N1017" s="15"/>
      <c r="O1017" s="15"/>
      <c r="P1017" s="15"/>
      <c r="Q1017" s="11"/>
      <c r="R1017" s="11"/>
      <c r="S1017" s="11"/>
      <c r="T1017" s="11"/>
      <c r="U1017" s="15"/>
      <c r="V1017" s="11"/>
      <c r="W1017" s="11"/>
      <c r="X1017" s="11"/>
      <c r="Y1017" s="11"/>
      <c r="Z1017" s="11"/>
    </row>
    <row r="1018">
      <c r="A1018" s="18"/>
      <c r="B1018" s="11"/>
      <c r="C1018" s="11"/>
      <c r="D1018" s="11"/>
      <c r="E1018" s="11"/>
      <c r="F1018" s="11"/>
      <c r="G1018" s="11"/>
      <c r="H1018" s="11"/>
      <c r="I1018" s="11"/>
      <c r="J1018" s="11"/>
      <c r="K1018" s="11"/>
      <c r="L1018" s="15"/>
      <c r="M1018" s="15"/>
      <c r="N1018" s="15"/>
      <c r="O1018" s="15"/>
      <c r="P1018" s="15"/>
      <c r="Q1018" s="11"/>
      <c r="R1018" s="11"/>
      <c r="S1018" s="11"/>
      <c r="T1018" s="11"/>
      <c r="U1018" s="15"/>
      <c r="V1018" s="11"/>
      <c r="W1018" s="11"/>
      <c r="X1018" s="11"/>
      <c r="Y1018" s="11"/>
      <c r="Z1018" s="11"/>
    </row>
    <row r="1019">
      <c r="A1019" s="18"/>
      <c r="B1019" s="11"/>
      <c r="C1019" s="11"/>
      <c r="D1019" s="11"/>
      <c r="E1019" s="11"/>
      <c r="F1019" s="11"/>
      <c r="G1019" s="11"/>
      <c r="H1019" s="11"/>
      <c r="I1019" s="11"/>
      <c r="J1019" s="11"/>
      <c r="K1019" s="11"/>
      <c r="L1019" s="15"/>
      <c r="M1019" s="15"/>
      <c r="N1019" s="15"/>
      <c r="O1019" s="15"/>
      <c r="P1019" s="15"/>
      <c r="Q1019" s="11"/>
      <c r="R1019" s="11"/>
      <c r="S1019" s="11"/>
      <c r="T1019" s="11"/>
      <c r="U1019" s="15"/>
      <c r="V1019" s="11"/>
      <c r="W1019" s="11"/>
      <c r="X1019" s="11"/>
      <c r="Y1019" s="11"/>
      <c r="Z1019" s="11"/>
    </row>
    <row r="1020">
      <c r="A1020" s="18"/>
      <c r="B1020" s="11"/>
      <c r="C1020" s="11"/>
      <c r="D1020" s="11"/>
      <c r="E1020" s="11"/>
      <c r="F1020" s="11"/>
      <c r="G1020" s="11"/>
      <c r="H1020" s="11"/>
      <c r="I1020" s="11"/>
      <c r="J1020" s="11"/>
      <c r="K1020" s="11"/>
      <c r="L1020" s="15"/>
      <c r="M1020" s="15"/>
      <c r="N1020" s="15"/>
      <c r="O1020" s="15"/>
      <c r="P1020" s="15"/>
      <c r="Q1020" s="11"/>
      <c r="R1020" s="11"/>
      <c r="S1020" s="11"/>
      <c r="T1020" s="11"/>
      <c r="U1020" s="15"/>
      <c r="V1020" s="11"/>
      <c r="W1020" s="11"/>
      <c r="X1020" s="11"/>
      <c r="Y1020" s="11"/>
      <c r="Z1020" s="11"/>
    </row>
    <row r="1021">
      <c r="A1021" s="18"/>
      <c r="B1021" s="11"/>
      <c r="C1021" s="11"/>
      <c r="D1021" s="11"/>
      <c r="E1021" s="11"/>
      <c r="F1021" s="11"/>
      <c r="G1021" s="11"/>
      <c r="H1021" s="11"/>
      <c r="I1021" s="11"/>
      <c r="J1021" s="11"/>
      <c r="K1021" s="11"/>
      <c r="L1021" s="15"/>
      <c r="M1021" s="15"/>
      <c r="N1021" s="15"/>
      <c r="O1021" s="15"/>
      <c r="P1021" s="15"/>
      <c r="Q1021" s="11"/>
      <c r="R1021" s="11"/>
      <c r="S1021" s="11"/>
      <c r="T1021" s="11"/>
      <c r="U1021" s="15"/>
      <c r="V1021" s="11"/>
      <c r="W1021" s="11"/>
      <c r="X1021" s="11"/>
      <c r="Y1021" s="11"/>
      <c r="Z1021" s="11"/>
    </row>
    <row r="1022">
      <c r="A1022" s="18"/>
      <c r="B1022" s="11"/>
      <c r="C1022" s="11"/>
      <c r="D1022" s="11"/>
      <c r="E1022" s="11"/>
      <c r="F1022" s="11"/>
      <c r="G1022" s="11"/>
      <c r="H1022" s="11"/>
      <c r="I1022" s="11"/>
      <c r="J1022" s="11"/>
      <c r="K1022" s="11"/>
      <c r="L1022" s="15"/>
      <c r="M1022" s="15"/>
      <c r="N1022" s="15"/>
      <c r="O1022" s="15"/>
      <c r="P1022" s="15"/>
      <c r="Q1022" s="11"/>
      <c r="R1022" s="11"/>
      <c r="S1022" s="11"/>
      <c r="T1022" s="11"/>
      <c r="U1022" s="15"/>
      <c r="V1022" s="11"/>
      <c r="W1022" s="11"/>
      <c r="X1022" s="11"/>
      <c r="Y1022" s="11"/>
      <c r="Z1022" s="11"/>
    </row>
    <row r="1023">
      <c r="A1023" s="18"/>
      <c r="B1023" s="11"/>
      <c r="C1023" s="11"/>
      <c r="D1023" s="11"/>
      <c r="E1023" s="11"/>
      <c r="F1023" s="11"/>
      <c r="G1023" s="11"/>
      <c r="H1023" s="11"/>
      <c r="I1023" s="11"/>
      <c r="J1023" s="11"/>
      <c r="K1023" s="11"/>
      <c r="L1023" s="15"/>
      <c r="M1023" s="15"/>
      <c r="N1023" s="15"/>
      <c r="O1023" s="15"/>
      <c r="P1023" s="15"/>
      <c r="Q1023" s="11"/>
      <c r="R1023" s="11"/>
      <c r="S1023" s="11"/>
      <c r="T1023" s="11"/>
      <c r="U1023" s="15"/>
      <c r="V1023" s="11"/>
      <c r="W1023" s="11"/>
      <c r="X1023" s="11"/>
      <c r="Y1023" s="11"/>
      <c r="Z1023" s="11"/>
    </row>
    <row r="1024">
      <c r="A1024" s="18"/>
      <c r="B1024" s="11"/>
      <c r="C1024" s="11"/>
      <c r="D1024" s="11"/>
      <c r="E1024" s="11"/>
      <c r="F1024" s="11"/>
      <c r="G1024" s="11"/>
      <c r="H1024" s="11"/>
      <c r="I1024" s="11"/>
      <c r="J1024" s="11"/>
      <c r="K1024" s="11"/>
      <c r="L1024" s="15"/>
      <c r="M1024" s="15"/>
      <c r="N1024" s="15"/>
      <c r="O1024" s="15"/>
      <c r="P1024" s="15"/>
      <c r="Q1024" s="11"/>
      <c r="R1024" s="11"/>
      <c r="S1024" s="11"/>
      <c r="T1024" s="11"/>
      <c r="U1024" s="15"/>
      <c r="V1024" s="11"/>
      <c r="W1024" s="11"/>
      <c r="X1024" s="11"/>
      <c r="Y1024" s="11"/>
      <c r="Z1024" s="11"/>
    </row>
    <row r="1025">
      <c r="A1025" s="18"/>
      <c r="B1025" s="11"/>
      <c r="C1025" s="11"/>
      <c r="D1025" s="11"/>
      <c r="E1025" s="11"/>
      <c r="F1025" s="11"/>
      <c r="G1025" s="11"/>
      <c r="H1025" s="11"/>
      <c r="I1025" s="11"/>
      <c r="J1025" s="11"/>
      <c r="K1025" s="11"/>
      <c r="L1025" s="15"/>
      <c r="M1025" s="15"/>
      <c r="N1025" s="15"/>
      <c r="O1025" s="15"/>
      <c r="P1025" s="15"/>
      <c r="Q1025" s="11"/>
      <c r="R1025" s="11"/>
      <c r="S1025" s="11"/>
      <c r="T1025" s="11"/>
      <c r="U1025" s="15"/>
      <c r="V1025" s="11"/>
      <c r="W1025" s="11"/>
      <c r="X1025" s="11"/>
      <c r="Y1025" s="11"/>
      <c r="Z1025" s="11"/>
    </row>
    <row r="1026">
      <c r="A1026" s="18"/>
      <c r="B1026" s="11"/>
      <c r="C1026" s="11"/>
      <c r="D1026" s="11"/>
      <c r="E1026" s="11"/>
      <c r="F1026" s="11"/>
      <c r="G1026" s="11"/>
      <c r="H1026" s="11"/>
      <c r="I1026" s="11"/>
      <c r="J1026" s="11"/>
      <c r="K1026" s="11"/>
      <c r="L1026" s="15"/>
      <c r="M1026" s="15"/>
      <c r="N1026" s="15"/>
      <c r="O1026" s="15"/>
      <c r="P1026" s="15"/>
      <c r="Q1026" s="11"/>
      <c r="R1026" s="11"/>
      <c r="S1026" s="11"/>
      <c r="T1026" s="11"/>
      <c r="U1026" s="15"/>
      <c r="V1026" s="11"/>
      <c r="W1026" s="11"/>
      <c r="X1026" s="11"/>
      <c r="Y1026" s="11"/>
      <c r="Z1026" s="11"/>
    </row>
    <row r="1027">
      <c r="A1027" s="18"/>
      <c r="B1027" s="11"/>
      <c r="C1027" s="11"/>
      <c r="D1027" s="11"/>
      <c r="E1027" s="11"/>
      <c r="F1027" s="11"/>
      <c r="G1027" s="11"/>
      <c r="H1027" s="11"/>
      <c r="I1027" s="11"/>
      <c r="J1027" s="11"/>
      <c r="K1027" s="11"/>
      <c r="L1027" s="15"/>
      <c r="M1027" s="15"/>
      <c r="N1027" s="15"/>
      <c r="O1027" s="15"/>
      <c r="P1027" s="15"/>
      <c r="Q1027" s="11"/>
      <c r="R1027" s="11"/>
      <c r="S1027" s="11"/>
      <c r="T1027" s="11"/>
      <c r="U1027" s="15"/>
      <c r="V1027" s="11"/>
      <c r="W1027" s="11"/>
      <c r="X1027" s="11"/>
      <c r="Y1027" s="11"/>
      <c r="Z1027" s="11"/>
    </row>
    <row r="1028">
      <c r="A1028" s="18"/>
      <c r="B1028" s="11"/>
      <c r="C1028" s="11"/>
      <c r="D1028" s="11"/>
      <c r="E1028" s="11"/>
      <c r="F1028" s="11"/>
      <c r="G1028" s="11"/>
      <c r="H1028" s="11"/>
      <c r="I1028" s="11"/>
      <c r="J1028" s="11"/>
      <c r="K1028" s="11"/>
      <c r="L1028" s="15"/>
      <c r="M1028" s="15"/>
      <c r="N1028" s="15"/>
      <c r="O1028" s="15"/>
      <c r="P1028" s="15"/>
      <c r="Q1028" s="11"/>
      <c r="R1028" s="11"/>
      <c r="S1028" s="11"/>
      <c r="T1028" s="11"/>
      <c r="U1028" s="15"/>
      <c r="V1028" s="11"/>
      <c r="W1028" s="11"/>
      <c r="X1028" s="11"/>
      <c r="Y1028" s="11"/>
      <c r="Z1028" s="11"/>
    </row>
    <row r="1029">
      <c r="A1029" s="18"/>
      <c r="B1029" s="11"/>
      <c r="C1029" s="11"/>
      <c r="D1029" s="11"/>
      <c r="E1029" s="11"/>
      <c r="F1029" s="11"/>
      <c r="G1029" s="11"/>
      <c r="H1029" s="11"/>
      <c r="I1029" s="11"/>
      <c r="J1029" s="11"/>
      <c r="K1029" s="11"/>
      <c r="L1029" s="15"/>
      <c r="M1029" s="15"/>
      <c r="N1029" s="15"/>
      <c r="O1029" s="15"/>
      <c r="P1029" s="15"/>
      <c r="Q1029" s="11"/>
      <c r="R1029" s="11"/>
      <c r="S1029" s="11"/>
      <c r="T1029" s="11"/>
      <c r="U1029" s="15"/>
      <c r="V1029" s="11"/>
      <c r="W1029" s="11"/>
      <c r="X1029" s="11"/>
      <c r="Y1029" s="11"/>
      <c r="Z1029" s="11"/>
    </row>
    <row r="1030">
      <c r="A1030" s="18"/>
      <c r="B1030" s="11"/>
      <c r="C1030" s="11"/>
      <c r="D1030" s="11"/>
      <c r="E1030" s="11"/>
      <c r="F1030" s="11"/>
      <c r="G1030" s="11"/>
      <c r="H1030" s="11"/>
      <c r="I1030" s="11"/>
      <c r="J1030" s="11"/>
      <c r="K1030" s="11"/>
      <c r="L1030" s="15"/>
      <c r="M1030" s="15"/>
      <c r="N1030" s="15"/>
      <c r="O1030" s="15"/>
      <c r="P1030" s="15"/>
      <c r="Q1030" s="11"/>
      <c r="R1030" s="11"/>
      <c r="S1030" s="11"/>
      <c r="T1030" s="11"/>
      <c r="U1030" s="15"/>
      <c r="V1030" s="11"/>
      <c r="W1030" s="11"/>
      <c r="X1030" s="11"/>
      <c r="Y1030" s="11"/>
      <c r="Z1030" s="11"/>
    </row>
    <row r="1031">
      <c r="A1031" s="18"/>
      <c r="B1031" s="11"/>
      <c r="C1031" s="11"/>
      <c r="D1031" s="11"/>
      <c r="E1031" s="11"/>
      <c r="F1031" s="11"/>
      <c r="G1031" s="11"/>
      <c r="H1031" s="11"/>
      <c r="I1031" s="11"/>
      <c r="J1031" s="11"/>
      <c r="K1031" s="11"/>
      <c r="L1031" s="15"/>
      <c r="M1031" s="15"/>
      <c r="N1031" s="15"/>
      <c r="O1031" s="15"/>
      <c r="P1031" s="15"/>
      <c r="Q1031" s="11"/>
      <c r="R1031" s="11"/>
      <c r="S1031" s="11"/>
      <c r="T1031" s="11"/>
      <c r="U1031" s="15"/>
      <c r="V1031" s="11"/>
      <c r="W1031" s="11"/>
      <c r="X1031" s="11"/>
      <c r="Y1031" s="11"/>
      <c r="Z1031" s="11"/>
    </row>
    <row r="1032">
      <c r="A1032" s="18"/>
      <c r="B1032" s="11"/>
      <c r="C1032" s="11"/>
      <c r="D1032" s="11"/>
      <c r="E1032" s="11"/>
      <c r="F1032" s="11"/>
      <c r="G1032" s="11"/>
      <c r="H1032" s="11"/>
      <c r="I1032" s="11"/>
      <c r="J1032" s="11"/>
      <c r="K1032" s="11"/>
      <c r="L1032" s="15"/>
      <c r="M1032" s="15"/>
      <c r="N1032" s="15"/>
      <c r="O1032" s="15"/>
      <c r="P1032" s="15"/>
      <c r="Q1032" s="11"/>
      <c r="R1032" s="11"/>
      <c r="S1032" s="11"/>
      <c r="T1032" s="11"/>
      <c r="U1032" s="15"/>
      <c r="V1032" s="11"/>
      <c r="W1032" s="11"/>
      <c r="X1032" s="11"/>
      <c r="Y1032" s="11"/>
      <c r="Z1032" s="11"/>
    </row>
    <row r="1033">
      <c r="A1033" s="18"/>
      <c r="B1033" s="11"/>
      <c r="C1033" s="11"/>
      <c r="D1033" s="11"/>
      <c r="E1033" s="11"/>
      <c r="F1033" s="11"/>
      <c r="G1033" s="11"/>
      <c r="H1033" s="11"/>
      <c r="I1033" s="11"/>
      <c r="J1033" s="11"/>
      <c r="K1033" s="11"/>
      <c r="L1033" s="15"/>
      <c r="M1033" s="15"/>
      <c r="N1033" s="15"/>
      <c r="O1033" s="15"/>
      <c r="P1033" s="15"/>
      <c r="Q1033" s="11"/>
      <c r="R1033" s="11"/>
      <c r="S1033" s="11"/>
      <c r="T1033" s="11"/>
      <c r="U1033" s="15"/>
      <c r="V1033" s="11"/>
      <c r="W1033" s="11"/>
      <c r="X1033" s="11"/>
      <c r="Y1033" s="11"/>
      <c r="Z1033" s="11"/>
    </row>
    <row r="1034">
      <c r="A1034" s="18"/>
      <c r="B1034" s="11"/>
      <c r="C1034" s="11"/>
      <c r="D1034" s="11"/>
      <c r="E1034" s="11"/>
      <c r="F1034" s="11"/>
      <c r="G1034" s="11"/>
      <c r="H1034" s="11"/>
      <c r="I1034" s="11"/>
      <c r="J1034" s="11"/>
      <c r="K1034" s="11"/>
      <c r="L1034" s="15"/>
      <c r="M1034" s="15"/>
      <c r="N1034" s="15"/>
      <c r="O1034" s="15"/>
      <c r="P1034" s="15"/>
      <c r="Q1034" s="11"/>
      <c r="R1034" s="11"/>
      <c r="S1034" s="11"/>
      <c r="T1034" s="11"/>
      <c r="U1034" s="15"/>
      <c r="V1034" s="11"/>
      <c r="W1034" s="11"/>
      <c r="X1034" s="11"/>
      <c r="Y1034" s="11"/>
      <c r="Z1034" s="11"/>
    </row>
    <row r="1035">
      <c r="A1035" s="18"/>
      <c r="B1035" s="11"/>
      <c r="C1035" s="11"/>
      <c r="D1035" s="11"/>
      <c r="E1035" s="11"/>
      <c r="F1035" s="11"/>
      <c r="G1035" s="11"/>
      <c r="H1035" s="11"/>
      <c r="I1035" s="11"/>
      <c r="J1035" s="11"/>
      <c r="K1035" s="11"/>
      <c r="L1035" s="15"/>
      <c r="M1035" s="15"/>
      <c r="N1035" s="15"/>
      <c r="O1035" s="15"/>
      <c r="P1035" s="15"/>
      <c r="Q1035" s="11"/>
      <c r="R1035" s="11"/>
      <c r="S1035" s="11"/>
      <c r="T1035" s="11"/>
      <c r="U1035" s="15"/>
      <c r="V1035" s="11"/>
      <c r="W1035" s="11"/>
      <c r="X1035" s="11"/>
      <c r="Y1035" s="11"/>
      <c r="Z1035" s="11"/>
    </row>
    <row r="1036">
      <c r="A1036" s="18"/>
      <c r="B1036" s="11"/>
      <c r="C1036" s="11"/>
      <c r="D1036" s="11"/>
      <c r="E1036" s="11"/>
      <c r="F1036" s="11"/>
      <c r="G1036" s="11"/>
      <c r="H1036" s="11"/>
      <c r="I1036" s="11"/>
      <c r="J1036" s="11"/>
      <c r="K1036" s="11"/>
      <c r="L1036" s="15"/>
      <c r="M1036" s="15"/>
      <c r="N1036" s="15"/>
      <c r="O1036" s="15"/>
      <c r="P1036" s="15"/>
      <c r="Q1036" s="11"/>
      <c r="R1036" s="11"/>
      <c r="S1036" s="11"/>
      <c r="T1036" s="11"/>
      <c r="U1036" s="15"/>
      <c r="V1036" s="11"/>
      <c r="W1036" s="11"/>
      <c r="X1036" s="11"/>
      <c r="Y1036" s="11"/>
      <c r="Z1036" s="11"/>
    </row>
    <row r="1037">
      <c r="A1037" s="18"/>
      <c r="B1037" s="11"/>
      <c r="C1037" s="11"/>
      <c r="D1037" s="11"/>
      <c r="E1037" s="11"/>
      <c r="F1037" s="11"/>
      <c r="G1037" s="11"/>
      <c r="H1037" s="11"/>
      <c r="I1037" s="11"/>
      <c r="J1037" s="11"/>
      <c r="K1037" s="11"/>
      <c r="L1037" s="15"/>
      <c r="M1037" s="15"/>
      <c r="N1037" s="15"/>
      <c r="O1037" s="15"/>
      <c r="P1037" s="15"/>
      <c r="Q1037" s="11"/>
      <c r="R1037" s="11"/>
      <c r="S1037" s="11"/>
      <c r="T1037" s="11"/>
      <c r="U1037" s="15"/>
      <c r="V1037" s="11"/>
      <c r="W1037" s="11"/>
      <c r="X1037" s="11"/>
      <c r="Y1037" s="11"/>
      <c r="Z1037" s="11"/>
    </row>
    <row r="1038">
      <c r="A1038" s="18"/>
      <c r="B1038" s="11"/>
      <c r="C1038" s="11"/>
      <c r="D1038" s="11"/>
      <c r="E1038" s="11"/>
      <c r="F1038" s="11"/>
      <c r="G1038" s="11"/>
      <c r="H1038" s="11"/>
      <c r="I1038" s="11"/>
      <c r="J1038" s="11"/>
      <c r="K1038" s="11"/>
      <c r="L1038" s="15"/>
      <c r="M1038" s="15"/>
      <c r="N1038" s="15"/>
      <c r="O1038" s="15"/>
      <c r="P1038" s="15"/>
      <c r="Q1038" s="11"/>
      <c r="R1038" s="11"/>
      <c r="S1038" s="11"/>
      <c r="T1038" s="11"/>
      <c r="U1038" s="15"/>
      <c r="V1038" s="11"/>
      <c r="W1038" s="11"/>
      <c r="X1038" s="11"/>
      <c r="Y1038" s="11"/>
      <c r="Z1038" s="11"/>
    </row>
    <row r="1039">
      <c r="A1039" s="18"/>
      <c r="B1039" s="11"/>
      <c r="C1039" s="11"/>
      <c r="D1039" s="11"/>
      <c r="E1039" s="11"/>
      <c r="F1039" s="11"/>
      <c r="G1039" s="11"/>
      <c r="H1039" s="11"/>
      <c r="I1039" s="11"/>
      <c r="J1039" s="11"/>
      <c r="K1039" s="11"/>
      <c r="L1039" s="15"/>
      <c r="M1039" s="15"/>
      <c r="N1039" s="15"/>
      <c r="O1039" s="15"/>
      <c r="P1039" s="15"/>
      <c r="Q1039" s="11"/>
      <c r="R1039" s="11"/>
      <c r="S1039" s="11"/>
      <c r="T1039" s="11"/>
      <c r="U1039" s="15"/>
      <c r="V1039" s="11"/>
      <c r="W1039" s="11"/>
      <c r="X1039" s="11"/>
      <c r="Y1039" s="11"/>
      <c r="Z1039" s="11"/>
    </row>
    <row r="1040">
      <c r="A1040" s="18"/>
      <c r="B1040" s="11"/>
      <c r="C1040" s="11"/>
      <c r="D1040" s="11"/>
      <c r="E1040" s="11"/>
      <c r="F1040" s="11"/>
      <c r="G1040" s="11"/>
      <c r="H1040" s="11"/>
      <c r="I1040" s="11"/>
      <c r="J1040" s="11"/>
      <c r="K1040" s="11"/>
      <c r="L1040" s="15"/>
      <c r="M1040" s="15"/>
      <c r="N1040" s="15"/>
      <c r="O1040" s="15"/>
      <c r="P1040" s="15"/>
      <c r="Q1040" s="11"/>
      <c r="R1040" s="11"/>
      <c r="S1040" s="11"/>
      <c r="T1040" s="11"/>
      <c r="U1040" s="15"/>
      <c r="V1040" s="11"/>
      <c r="W1040" s="11"/>
      <c r="X1040" s="11"/>
      <c r="Y1040" s="11"/>
      <c r="Z1040" s="11"/>
    </row>
    <row r="1041">
      <c r="A1041" s="18"/>
      <c r="B1041" s="11"/>
      <c r="C1041" s="11"/>
      <c r="D1041" s="11"/>
      <c r="E1041" s="11"/>
      <c r="F1041" s="11"/>
      <c r="G1041" s="11"/>
      <c r="H1041" s="11"/>
      <c r="I1041" s="11"/>
      <c r="J1041" s="11"/>
      <c r="K1041" s="11"/>
      <c r="L1041" s="15"/>
      <c r="M1041" s="15"/>
      <c r="N1041" s="15"/>
      <c r="O1041" s="15"/>
      <c r="P1041" s="15"/>
      <c r="Q1041" s="11"/>
      <c r="R1041" s="11"/>
      <c r="S1041" s="11"/>
      <c r="T1041" s="11"/>
      <c r="U1041" s="15"/>
      <c r="V1041" s="11"/>
      <c r="W1041" s="11"/>
      <c r="X1041" s="11"/>
      <c r="Y1041" s="11"/>
      <c r="Z1041" s="11"/>
    </row>
    <row r="1042">
      <c r="A1042" s="18"/>
      <c r="B1042" s="11"/>
      <c r="C1042" s="11"/>
      <c r="D1042" s="11"/>
      <c r="E1042" s="11"/>
      <c r="F1042" s="11"/>
      <c r="G1042" s="11"/>
      <c r="H1042" s="11"/>
      <c r="I1042" s="11"/>
      <c r="J1042" s="11"/>
      <c r="K1042" s="11"/>
      <c r="L1042" s="15"/>
      <c r="M1042" s="15"/>
      <c r="N1042" s="15"/>
      <c r="O1042" s="15"/>
      <c r="P1042" s="15"/>
      <c r="Q1042" s="11"/>
      <c r="R1042" s="11"/>
      <c r="S1042" s="11"/>
      <c r="T1042" s="11"/>
      <c r="U1042" s="15"/>
      <c r="V1042" s="11"/>
      <c r="W1042" s="11"/>
      <c r="X1042" s="11"/>
      <c r="Y1042" s="11"/>
      <c r="Z1042" s="11"/>
    </row>
    <row r="1043">
      <c r="A1043" s="18"/>
      <c r="B1043" s="11"/>
      <c r="C1043" s="11"/>
      <c r="D1043" s="11"/>
      <c r="E1043" s="11"/>
      <c r="F1043" s="11"/>
      <c r="G1043" s="11"/>
      <c r="H1043" s="11"/>
      <c r="I1043" s="11"/>
      <c r="J1043" s="11"/>
      <c r="K1043" s="11"/>
      <c r="L1043" s="15"/>
      <c r="M1043" s="15"/>
      <c r="N1043" s="15"/>
      <c r="O1043" s="15"/>
      <c r="P1043" s="15"/>
      <c r="Q1043" s="11"/>
      <c r="R1043" s="11"/>
      <c r="S1043" s="11"/>
      <c r="T1043" s="11"/>
      <c r="U1043" s="15"/>
      <c r="V1043" s="11"/>
      <c r="W1043" s="11"/>
      <c r="X1043" s="11"/>
      <c r="Y1043" s="11"/>
      <c r="Z1043" s="11"/>
    </row>
    <row r="1044">
      <c r="A1044" s="18"/>
      <c r="B1044" s="11"/>
      <c r="C1044" s="11"/>
      <c r="D1044" s="11"/>
      <c r="E1044" s="11"/>
      <c r="F1044" s="11"/>
      <c r="G1044" s="11"/>
      <c r="H1044" s="11"/>
      <c r="I1044" s="11"/>
      <c r="J1044" s="11"/>
      <c r="K1044" s="11"/>
      <c r="L1044" s="15"/>
      <c r="M1044" s="15"/>
      <c r="N1044" s="15"/>
      <c r="O1044" s="15"/>
      <c r="P1044" s="15"/>
      <c r="Q1044" s="11"/>
      <c r="R1044" s="11"/>
      <c r="S1044" s="11"/>
      <c r="T1044" s="11"/>
      <c r="U1044" s="15"/>
      <c r="V1044" s="11"/>
      <c r="W1044" s="11"/>
      <c r="X1044" s="11"/>
      <c r="Y1044" s="11"/>
      <c r="Z1044" s="11"/>
    </row>
    <row r="1045">
      <c r="A1045" s="18"/>
      <c r="B1045" s="11"/>
      <c r="C1045" s="11"/>
      <c r="D1045" s="11"/>
      <c r="E1045" s="11"/>
      <c r="F1045" s="11"/>
      <c r="G1045" s="11"/>
      <c r="H1045" s="11"/>
      <c r="I1045" s="11"/>
      <c r="J1045" s="11"/>
      <c r="K1045" s="11"/>
      <c r="L1045" s="15"/>
      <c r="M1045" s="15"/>
      <c r="N1045" s="15"/>
      <c r="O1045" s="15"/>
      <c r="P1045" s="15"/>
      <c r="Q1045" s="11"/>
      <c r="R1045" s="11"/>
      <c r="S1045" s="11"/>
      <c r="T1045" s="11"/>
      <c r="U1045" s="15"/>
      <c r="V1045" s="11"/>
      <c r="W1045" s="11"/>
      <c r="X1045" s="11"/>
      <c r="Y1045" s="11"/>
      <c r="Z1045" s="11"/>
    </row>
    <row r="1046">
      <c r="A1046" s="18"/>
      <c r="B1046" s="11"/>
      <c r="C1046" s="11"/>
      <c r="D1046" s="11"/>
      <c r="E1046" s="11"/>
      <c r="F1046" s="11"/>
      <c r="G1046" s="11"/>
      <c r="H1046" s="11"/>
      <c r="I1046" s="11"/>
      <c r="J1046" s="11"/>
      <c r="K1046" s="11"/>
      <c r="L1046" s="15"/>
      <c r="M1046" s="15"/>
      <c r="N1046" s="15"/>
      <c r="O1046" s="15"/>
      <c r="P1046" s="15"/>
      <c r="Q1046" s="11"/>
      <c r="R1046" s="11"/>
      <c r="S1046" s="11"/>
      <c r="T1046" s="11"/>
      <c r="U1046" s="15"/>
      <c r="V1046" s="11"/>
      <c r="W1046" s="11"/>
      <c r="X1046" s="11"/>
      <c r="Y1046" s="11"/>
      <c r="Z1046" s="11"/>
    </row>
    <row r="1047">
      <c r="A1047" s="18"/>
      <c r="B1047" s="11"/>
      <c r="C1047" s="11"/>
      <c r="D1047" s="11"/>
      <c r="E1047" s="11"/>
      <c r="F1047" s="11"/>
      <c r="G1047" s="11"/>
      <c r="H1047" s="11"/>
      <c r="I1047" s="11"/>
      <c r="J1047" s="11"/>
      <c r="K1047" s="11"/>
      <c r="L1047" s="15"/>
      <c r="M1047" s="15"/>
      <c r="N1047" s="15"/>
      <c r="O1047" s="15"/>
      <c r="P1047" s="15"/>
      <c r="Q1047" s="11"/>
      <c r="R1047" s="11"/>
      <c r="S1047" s="11"/>
      <c r="T1047" s="11"/>
      <c r="U1047" s="15"/>
      <c r="V1047" s="11"/>
      <c r="W1047" s="11"/>
      <c r="X1047" s="11"/>
      <c r="Y1047" s="11"/>
      <c r="Z1047" s="11"/>
    </row>
    <row r="1048">
      <c r="A1048" s="18"/>
      <c r="B1048" s="11"/>
      <c r="C1048" s="11"/>
      <c r="D1048" s="11"/>
      <c r="E1048" s="11"/>
      <c r="F1048" s="11"/>
      <c r="G1048" s="11"/>
      <c r="H1048" s="11"/>
      <c r="I1048" s="11"/>
      <c r="J1048" s="11"/>
      <c r="K1048" s="11"/>
      <c r="L1048" s="15"/>
      <c r="M1048" s="15"/>
      <c r="N1048" s="15"/>
      <c r="O1048" s="15"/>
      <c r="P1048" s="15"/>
      <c r="Q1048" s="11"/>
      <c r="R1048" s="11"/>
      <c r="S1048" s="11"/>
      <c r="T1048" s="11"/>
      <c r="U1048" s="15"/>
      <c r="V1048" s="11"/>
      <c r="W1048" s="11"/>
      <c r="X1048" s="11"/>
      <c r="Y1048" s="11"/>
      <c r="Z1048" s="11"/>
    </row>
    <row r="1049">
      <c r="A1049" s="18"/>
      <c r="B1049" s="11"/>
      <c r="C1049" s="11"/>
      <c r="D1049" s="11"/>
      <c r="E1049" s="11"/>
      <c r="F1049" s="11"/>
      <c r="G1049" s="11"/>
      <c r="H1049" s="11"/>
      <c r="I1049" s="11"/>
      <c r="J1049" s="11"/>
      <c r="K1049" s="11"/>
      <c r="L1049" s="15"/>
      <c r="M1049" s="15"/>
      <c r="N1049" s="15"/>
      <c r="O1049" s="15"/>
      <c r="P1049" s="15"/>
      <c r="Q1049" s="11"/>
      <c r="R1049" s="11"/>
      <c r="S1049" s="11"/>
      <c r="T1049" s="11"/>
      <c r="U1049" s="15"/>
      <c r="V1049" s="11"/>
      <c r="W1049" s="11"/>
      <c r="X1049" s="11"/>
      <c r="Y1049" s="11"/>
      <c r="Z1049" s="11"/>
    </row>
    <row r="1050">
      <c r="A1050" s="18"/>
      <c r="B1050" s="11"/>
      <c r="C1050" s="11"/>
      <c r="D1050" s="11"/>
      <c r="E1050" s="11"/>
      <c r="F1050" s="11"/>
      <c r="G1050" s="11"/>
      <c r="H1050" s="11"/>
      <c r="I1050" s="11"/>
      <c r="J1050" s="11"/>
      <c r="K1050" s="11"/>
      <c r="L1050" s="15"/>
      <c r="M1050" s="15"/>
      <c r="N1050" s="15"/>
      <c r="O1050" s="15"/>
      <c r="P1050" s="15"/>
      <c r="Q1050" s="11"/>
      <c r="R1050" s="11"/>
      <c r="S1050" s="11"/>
      <c r="T1050" s="11"/>
      <c r="U1050" s="15"/>
      <c r="V1050" s="11"/>
      <c r="W1050" s="11"/>
      <c r="X1050" s="11"/>
      <c r="Y1050" s="11"/>
      <c r="Z1050" s="11"/>
    </row>
    <row r="1051">
      <c r="A1051" s="18"/>
      <c r="B1051" s="11"/>
      <c r="C1051" s="11"/>
      <c r="D1051" s="11"/>
      <c r="E1051" s="11"/>
      <c r="F1051" s="11"/>
      <c r="G1051" s="11"/>
      <c r="H1051" s="11"/>
      <c r="I1051" s="11"/>
      <c r="J1051" s="11"/>
      <c r="K1051" s="11"/>
      <c r="L1051" s="15"/>
      <c r="M1051" s="15"/>
      <c r="N1051" s="15"/>
      <c r="O1051" s="15"/>
      <c r="P1051" s="15"/>
      <c r="Q1051" s="11"/>
      <c r="R1051" s="11"/>
      <c r="S1051" s="11"/>
      <c r="T1051" s="11"/>
      <c r="U1051" s="15"/>
      <c r="V1051" s="11"/>
      <c r="W1051" s="11"/>
      <c r="X1051" s="11"/>
      <c r="Y1051" s="11"/>
      <c r="Z1051" s="11"/>
    </row>
    <row r="1052">
      <c r="A1052" s="18"/>
      <c r="B1052" s="11"/>
      <c r="C1052" s="11"/>
      <c r="D1052" s="11"/>
      <c r="E1052" s="11"/>
      <c r="F1052" s="11"/>
      <c r="G1052" s="11"/>
      <c r="H1052" s="11"/>
      <c r="I1052" s="11"/>
      <c r="J1052" s="11"/>
      <c r="K1052" s="11"/>
      <c r="L1052" s="15"/>
      <c r="M1052" s="15"/>
      <c r="N1052" s="15"/>
      <c r="O1052" s="15"/>
      <c r="P1052" s="15"/>
      <c r="Q1052" s="11"/>
      <c r="R1052" s="11"/>
      <c r="S1052" s="11"/>
      <c r="T1052" s="11"/>
      <c r="U1052" s="15"/>
      <c r="V1052" s="11"/>
      <c r="W1052" s="11"/>
      <c r="X1052" s="11"/>
      <c r="Y1052" s="11"/>
      <c r="Z1052" s="11"/>
    </row>
    <row r="1053">
      <c r="A1053" s="18"/>
      <c r="B1053" s="11"/>
      <c r="C1053" s="11"/>
      <c r="D1053" s="11"/>
      <c r="E1053" s="11"/>
      <c r="F1053" s="11"/>
      <c r="G1053" s="11"/>
      <c r="H1053" s="11"/>
      <c r="I1053" s="11"/>
      <c r="J1053" s="11"/>
      <c r="K1053" s="11"/>
      <c r="L1053" s="15"/>
      <c r="M1053" s="15"/>
      <c r="N1053" s="15"/>
      <c r="O1053" s="15"/>
      <c r="P1053" s="15"/>
      <c r="Q1053" s="11"/>
      <c r="R1053" s="11"/>
      <c r="S1053" s="11"/>
      <c r="T1053" s="11"/>
      <c r="U1053" s="15"/>
      <c r="V1053" s="11"/>
      <c r="W1053" s="11"/>
      <c r="X1053" s="11"/>
      <c r="Y1053" s="11"/>
      <c r="Z1053" s="11"/>
    </row>
    <row r="1054">
      <c r="A1054" s="18"/>
      <c r="B1054" s="11"/>
      <c r="C1054" s="11"/>
      <c r="D1054" s="11"/>
      <c r="E1054" s="11"/>
      <c r="F1054" s="11"/>
      <c r="G1054" s="11"/>
      <c r="H1054" s="11"/>
      <c r="I1054" s="11"/>
      <c r="J1054" s="11"/>
      <c r="K1054" s="11"/>
      <c r="L1054" s="15"/>
      <c r="M1054" s="15"/>
      <c r="N1054" s="15"/>
      <c r="O1054" s="15"/>
      <c r="P1054" s="15"/>
      <c r="Q1054" s="11"/>
      <c r="R1054" s="11"/>
      <c r="S1054" s="11"/>
      <c r="T1054" s="11"/>
      <c r="U1054" s="15"/>
      <c r="V1054" s="11"/>
      <c r="W1054" s="11"/>
      <c r="X1054" s="11"/>
      <c r="Y1054" s="11"/>
      <c r="Z1054" s="11"/>
    </row>
    <row r="1055">
      <c r="A1055" s="18"/>
      <c r="B1055" s="11"/>
      <c r="C1055" s="11"/>
      <c r="D1055" s="11"/>
      <c r="E1055" s="11"/>
      <c r="F1055" s="11"/>
      <c r="G1055" s="11"/>
      <c r="H1055" s="11"/>
      <c r="I1055" s="11"/>
      <c r="J1055" s="11"/>
      <c r="K1055" s="11"/>
      <c r="L1055" s="15"/>
      <c r="M1055" s="15"/>
      <c r="N1055" s="15"/>
      <c r="O1055" s="15"/>
      <c r="P1055" s="15"/>
      <c r="Q1055" s="11"/>
      <c r="R1055" s="11"/>
      <c r="S1055" s="11"/>
      <c r="T1055" s="11"/>
      <c r="U1055" s="15"/>
      <c r="V1055" s="11"/>
      <c r="W1055" s="11"/>
      <c r="X1055" s="11"/>
      <c r="Y1055" s="11"/>
      <c r="Z1055" s="11"/>
    </row>
    <row r="1056">
      <c r="A1056" s="18"/>
      <c r="B1056" s="11"/>
      <c r="C1056" s="11"/>
      <c r="D1056" s="11"/>
      <c r="E1056" s="11"/>
      <c r="F1056" s="11"/>
      <c r="G1056" s="11"/>
      <c r="H1056" s="11"/>
      <c r="I1056" s="11"/>
      <c r="J1056" s="11"/>
      <c r="K1056" s="11"/>
      <c r="L1056" s="15"/>
      <c r="M1056" s="15"/>
      <c r="N1056" s="15"/>
      <c r="O1056" s="15"/>
      <c r="P1056" s="15"/>
      <c r="Q1056" s="11"/>
      <c r="R1056" s="11"/>
      <c r="S1056" s="11"/>
      <c r="T1056" s="11"/>
      <c r="U1056" s="15"/>
      <c r="V1056" s="11"/>
      <c r="W1056" s="11"/>
      <c r="X1056" s="11"/>
      <c r="Y1056" s="11"/>
      <c r="Z1056" s="11"/>
    </row>
    <row r="1057">
      <c r="A1057" s="18"/>
      <c r="B1057" s="11"/>
      <c r="C1057" s="11"/>
      <c r="D1057" s="11"/>
      <c r="E1057" s="11"/>
      <c r="F1057" s="11"/>
      <c r="G1057" s="11"/>
      <c r="H1057" s="11"/>
      <c r="I1057" s="11"/>
      <c r="J1057" s="11"/>
      <c r="K1057" s="11"/>
      <c r="L1057" s="15"/>
      <c r="M1057" s="15"/>
      <c r="N1057" s="15"/>
      <c r="O1057" s="15"/>
      <c r="P1057" s="15"/>
      <c r="Q1057" s="11"/>
      <c r="R1057" s="11"/>
      <c r="S1057" s="11"/>
      <c r="T1057" s="11"/>
      <c r="U1057" s="15"/>
      <c r="V1057" s="11"/>
      <c r="W1057" s="11"/>
      <c r="X1057" s="11"/>
      <c r="Y1057" s="11"/>
      <c r="Z1057" s="11"/>
    </row>
    <row r="1058">
      <c r="A1058" s="18"/>
      <c r="B1058" s="11"/>
      <c r="C1058" s="11"/>
      <c r="D1058" s="11"/>
      <c r="E1058" s="11"/>
      <c r="F1058" s="11"/>
      <c r="G1058" s="11"/>
      <c r="H1058" s="11"/>
      <c r="I1058" s="11"/>
      <c r="J1058" s="11"/>
      <c r="K1058" s="11"/>
      <c r="L1058" s="15"/>
      <c r="M1058" s="15"/>
      <c r="N1058" s="15"/>
      <c r="O1058" s="15"/>
      <c r="P1058" s="15"/>
      <c r="Q1058" s="11"/>
      <c r="R1058" s="11"/>
      <c r="S1058" s="11"/>
      <c r="T1058" s="11"/>
      <c r="U1058" s="15"/>
      <c r="V1058" s="11"/>
      <c r="W1058" s="11"/>
      <c r="X1058" s="11"/>
      <c r="Y1058" s="11"/>
      <c r="Z1058" s="11"/>
    </row>
    <row r="1059">
      <c r="A1059" s="18"/>
      <c r="B1059" s="11"/>
      <c r="C1059" s="11"/>
      <c r="D1059" s="11"/>
      <c r="E1059" s="11"/>
      <c r="F1059" s="11"/>
      <c r="G1059" s="11"/>
      <c r="H1059" s="11"/>
      <c r="I1059" s="11"/>
      <c r="J1059" s="11"/>
      <c r="K1059" s="11"/>
      <c r="L1059" s="15"/>
      <c r="M1059" s="15"/>
      <c r="N1059" s="15"/>
      <c r="O1059" s="15"/>
      <c r="P1059" s="15"/>
      <c r="Q1059" s="11"/>
      <c r="R1059" s="11"/>
      <c r="S1059" s="11"/>
      <c r="T1059" s="11"/>
      <c r="U1059" s="15"/>
      <c r="V1059" s="11"/>
      <c r="W1059" s="11"/>
      <c r="X1059" s="11"/>
      <c r="Y1059" s="11"/>
      <c r="Z1059" s="11"/>
    </row>
    <row r="1060">
      <c r="A1060" s="18"/>
      <c r="B1060" s="11"/>
      <c r="C1060" s="11"/>
      <c r="D1060" s="11"/>
      <c r="E1060" s="11"/>
      <c r="F1060" s="11"/>
      <c r="G1060" s="11"/>
      <c r="H1060" s="11"/>
      <c r="I1060" s="11"/>
      <c r="J1060" s="11"/>
      <c r="K1060" s="11"/>
      <c r="L1060" s="15"/>
      <c r="M1060" s="15"/>
      <c r="N1060" s="15"/>
      <c r="O1060" s="15"/>
      <c r="P1060" s="15"/>
      <c r="Q1060" s="11"/>
      <c r="R1060" s="11"/>
      <c r="S1060" s="11"/>
      <c r="T1060" s="11"/>
      <c r="U1060" s="15"/>
      <c r="V1060" s="11"/>
      <c r="W1060" s="11"/>
      <c r="X1060" s="11"/>
      <c r="Y1060" s="11"/>
      <c r="Z1060" s="11"/>
    </row>
    <row r="1061">
      <c r="A1061" s="18"/>
      <c r="B1061" s="11"/>
      <c r="C1061" s="11"/>
      <c r="D1061" s="11"/>
      <c r="E1061" s="11"/>
      <c r="F1061" s="11"/>
      <c r="G1061" s="11"/>
      <c r="H1061" s="11"/>
      <c r="I1061" s="11"/>
      <c r="J1061" s="11"/>
      <c r="K1061" s="11"/>
      <c r="L1061" s="15"/>
      <c r="M1061" s="15"/>
      <c r="N1061" s="15"/>
      <c r="O1061" s="15"/>
      <c r="P1061" s="15"/>
      <c r="Q1061" s="11"/>
      <c r="R1061" s="11"/>
      <c r="S1061" s="11"/>
      <c r="T1061" s="11"/>
      <c r="U1061" s="15"/>
      <c r="V1061" s="11"/>
      <c r="W1061" s="11"/>
      <c r="X1061" s="11"/>
      <c r="Y1061" s="11"/>
      <c r="Z1061" s="11"/>
    </row>
    <row r="1062">
      <c r="A1062" s="18"/>
      <c r="B1062" s="11"/>
      <c r="C1062" s="11"/>
      <c r="D1062" s="11"/>
      <c r="E1062" s="11"/>
      <c r="F1062" s="11"/>
      <c r="G1062" s="11"/>
      <c r="H1062" s="11"/>
      <c r="I1062" s="11"/>
      <c r="J1062" s="11"/>
      <c r="K1062" s="11"/>
      <c r="L1062" s="15"/>
      <c r="M1062" s="15"/>
      <c r="N1062" s="15"/>
      <c r="O1062" s="15"/>
      <c r="P1062" s="15"/>
      <c r="Q1062" s="11"/>
      <c r="R1062" s="11"/>
      <c r="S1062" s="11"/>
      <c r="T1062" s="11"/>
      <c r="U1062" s="15"/>
      <c r="V1062" s="11"/>
      <c r="W1062" s="11"/>
      <c r="X1062" s="11"/>
      <c r="Y1062" s="11"/>
      <c r="Z1062" s="11"/>
    </row>
    <row r="1063">
      <c r="A1063" s="18"/>
      <c r="B1063" s="11"/>
      <c r="C1063" s="11"/>
      <c r="D1063" s="11"/>
      <c r="E1063" s="11"/>
      <c r="F1063" s="11"/>
      <c r="G1063" s="11"/>
      <c r="H1063" s="11"/>
      <c r="I1063" s="11"/>
      <c r="J1063" s="11"/>
      <c r="K1063" s="11"/>
      <c r="L1063" s="15"/>
      <c r="M1063" s="15"/>
      <c r="N1063" s="15"/>
      <c r="O1063" s="15"/>
      <c r="P1063" s="15"/>
      <c r="Q1063" s="11"/>
      <c r="R1063" s="11"/>
      <c r="S1063" s="11"/>
      <c r="T1063" s="11"/>
      <c r="U1063" s="15"/>
      <c r="V1063" s="11"/>
      <c r="W1063" s="11"/>
      <c r="X1063" s="11"/>
      <c r="Y1063" s="11"/>
      <c r="Z1063" s="11"/>
    </row>
    <row r="1064">
      <c r="A1064" s="18"/>
      <c r="B1064" s="11"/>
      <c r="C1064" s="11"/>
      <c r="D1064" s="11"/>
      <c r="E1064" s="11"/>
      <c r="F1064" s="11"/>
      <c r="G1064" s="11"/>
      <c r="H1064" s="11"/>
      <c r="I1064" s="11"/>
      <c r="J1064" s="11"/>
      <c r="K1064" s="11"/>
      <c r="L1064" s="15"/>
      <c r="M1064" s="15"/>
      <c r="N1064" s="15"/>
      <c r="O1064" s="15"/>
      <c r="P1064" s="15"/>
      <c r="Q1064" s="11"/>
      <c r="R1064" s="11"/>
      <c r="S1064" s="11"/>
      <c r="T1064" s="11"/>
      <c r="U1064" s="15"/>
      <c r="V1064" s="11"/>
      <c r="W1064" s="11"/>
      <c r="X1064" s="11"/>
      <c r="Y1064" s="11"/>
      <c r="Z1064" s="11"/>
    </row>
    <row r="1065">
      <c r="A1065" s="18"/>
      <c r="B1065" s="11"/>
      <c r="C1065" s="11"/>
      <c r="D1065" s="11"/>
      <c r="E1065" s="11"/>
      <c r="F1065" s="11"/>
      <c r="G1065" s="11"/>
      <c r="H1065" s="11"/>
      <c r="I1065" s="11"/>
      <c r="J1065" s="11"/>
      <c r="K1065" s="11"/>
      <c r="L1065" s="15"/>
      <c r="M1065" s="15"/>
      <c r="N1065" s="15"/>
      <c r="O1065" s="15"/>
      <c r="P1065" s="15"/>
      <c r="Q1065" s="11"/>
      <c r="R1065" s="11"/>
      <c r="S1065" s="11"/>
      <c r="T1065" s="11"/>
      <c r="U1065" s="15"/>
      <c r="V1065" s="11"/>
      <c r="W1065" s="11"/>
      <c r="X1065" s="11"/>
      <c r="Y1065" s="11"/>
      <c r="Z1065" s="11"/>
    </row>
    <row r="1066">
      <c r="A1066" s="18"/>
      <c r="B1066" s="11"/>
      <c r="C1066" s="11"/>
      <c r="D1066" s="11"/>
      <c r="E1066" s="11"/>
      <c r="F1066" s="11"/>
      <c r="G1066" s="11"/>
      <c r="H1066" s="11"/>
      <c r="I1066" s="11"/>
      <c r="J1066" s="11"/>
      <c r="K1066" s="11"/>
      <c r="L1066" s="15"/>
      <c r="M1066" s="15"/>
      <c r="N1066" s="15"/>
      <c r="O1066" s="15"/>
      <c r="P1066" s="15"/>
      <c r="Q1066" s="11"/>
      <c r="R1066" s="11"/>
      <c r="S1066" s="11"/>
      <c r="T1066" s="11"/>
      <c r="U1066" s="15"/>
      <c r="V1066" s="11"/>
      <c r="W1066" s="11"/>
      <c r="X1066" s="11"/>
      <c r="Y1066" s="11"/>
      <c r="Z1066" s="11"/>
    </row>
    <row r="1067">
      <c r="A1067" s="18"/>
      <c r="B1067" s="11"/>
      <c r="C1067" s="11"/>
      <c r="D1067" s="11"/>
      <c r="E1067" s="11"/>
      <c r="F1067" s="11"/>
      <c r="G1067" s="11"/>
      <c r="H1067" s="11"/>
      <c r="I1067" s="11"/>
      <c r="J1067" s="11"/>
      <c r="K1067" s="11"/>
      <c r="L1067" s="15"/>
      <c r="M1067" s="15"/>
      <c r="N1067" s="15"/>
      <c r="O1067" s="15"/>
      <c r="P1067" s="15"/>
      <c r="Q1067" s="11"/>
      <c r="R1067" s="11"/>
      <c r="S1067" s="11"/>
      <c r="T1067" s="11"/>
      <c r="U1067" s="15"/>
      <c r="V1067" s="11"/>
      <c r="W1067" s="11"/>
      <c r="X1067" s="11"/>
      <c r="Y1067" s="11"/>
      <c r="Z1067" s="11"/>
    </row>
    <row r="1068">
      <c r="A1068" s="18"/>
      <c r="B1068" s="11"/>
      <c r="C1068" s="11"/>
      <c r="D1068" s="11"/>
      <c r="E1068" s="11"/>
      <c r="F1068" s="11"/>
      <c r="G1068" s="11"/>
      <c r="H1068" s="11"/>
      <c r="I1068" s="11"/>
      <c r="J1068" s="11"/>
      <c r="K1068" s="11"/>
      <c r="L1068" s="15"/>
      <c r="M1068" s="15"/>
      <c r="N1068" s="15"/>
      <c r="O1068" s="15"/>
      <c r="P1068" s="15"/>
      <c r="Q1068" s="11"/>
      <c r="R1068" s="11"/>
      <c r="S1068" s="11"/>
      <c r="T1068" s="11"/>
      <c r="U1068" s="15"/>
      <c r="V1068" s="11"/>
      <c r="W1068" s="11"/>
      <c r="X1068" s="11"/>
      <c r="Y1068" s="11"/>
      <c r="Z1068" s="11"/>
    </row>
    <row r="1069">
      <c r="A1069" s="18"/>
      <c r="B1069" s="11"/>
      <c r="C1069" s="11"/>
      <c r="D1069" s="11"/>
      <c r="E1069" s="11"/>
      <c r="F1069" s="11"/>
      <c r="G1069" s="11"/>
      <c r="H1069" s="11"/>
      <c r="I1069" s="11"/>
      <c r="J1069" s="11"/>
      <c r="K1069" s="11"/>
      <c r="L1069" s="15"/>
      <c r="M1069" s="15"/>
      <c r="N1069" s="15"/>
      <c r="O1069" s="15"/>
      <c r="P1069" s="15"/>
      <c r="Q1069" s="11"/>
      <c r="R1069" s="11"/>
      <c r="S1069" s="11"/>
      <c r="T1069" s="11"/>
      <c r="U1069" s="15"/>
      <c r="V1069" s="11"/>
      <c r="W1069" s="11"/>
      <c r="X1069" s="11"/>
      <c r="Y1069" s="11"/>
      <c r="Z1069" s="11"/>
    </row>
    <row r="1070">
      <c r="A1070" s="18"/>
      <c r="B1070" s="11"/>
      <c r="C1070" s="11"/>
      <c r="D1070" s="11"/>
      <c r="E1070" s="11"/>
      <c r="F1070" s="11"/>
      <c r="G1070" s="11"/>
      <c r="H1070" s="11"/>
      <c r="I1070" s="11"/>
      <c r="J1070" s="11"/>
      <c r="K1070" s="11"/>
      <c r="L1070" s="15"/>
      <c r="M1070" s="15"/>
      <c r="N1070" s="15"/>
      <c r="O1070" s="15"/>
      <c r="P1070" s="15"/>
      <c r="Q1070" s="11"/>
      <c r="R1070" s="11"/>
      <c r="S1070" s="11"/>
      <c r="T1070" s="11"/>
      <c r="U1070" s="15"/>
      <c r="V1070" s="11"/>
      <c r="W1070" s="11"/>
      <c r="X1070" s="11"/>
      <c r="Y1070" s="11"/>
      <c r="Z1070" s="11"/>
    </row>
    <row r="1071">
      <c r="A1071" s="18"/>
      <c r="B1071" s="11"/>
      <c r="C1071" s="11"/>
      <c r="D1071" s="11"/>
      <c r="E1071" s="11"/>
      <c r="F1071" s="11"/>
      <c r="G1071" s="11"/>
      <c r="H1071" s="11"/>
      <c r="I1071" s="11"/>
      <c r="J1071" s="11"/>
      <c r="K1071" s="11"/>
      <c r="L1071" s="15"/>
      <c r="M1071" s="15"/>
      <c r="N1071" s="15"/>
      <c r="O1071" s="15"/>
      <c r="P1071" s="15"/>
      <c r="Q1071" s="11"/>
      <c r="R1071" s="11"/>
      <c r="S1071" s="11"/>
      <c r="T1071" s="11"/>
      <c r="U1071" s="15"/>
      <c r="V1071" s="11"/>
      <c r="W1071" s="11"/>
      <c r="X1071" s="11"/>
      <c r="Y1071" s="11"/>
      <c r="Z1071" s="11"/>
    </row>
    <row r="1072">
      <c r="A1072" s="18"/>
      <c r="B1072" s="11"/>
      <c r="C1072" s="11"/>
      <c r="D1072" s="11"/>
      <c r="E1072" s="11"/>
      <c r="F1072" s="11"/>
      <c r="G1072" s="11"/>
      <c r="H1072" s="11"/>
      <c r="I1072" s="11"/>
      <c r="J1072" s="11"/>
      <c r="K1072" s="11"/>
      <c r="L1072" s="15"/>
      <c r="M1072" s="15"/>
      <c r="N1072" s="15"/>
      <c r="O1072" s="15"/>
      <c r="P1072" s="15"/>
      <c r="Q1072" s="11"/>
      <c r="R1072" s="11"/>
      <c r="S1072" s="11"/>
      <c r="T1072" s="11"/>
      <c r="U1072" s="15"/>
      <c r="V1072" s="11"/>
      <c r="W1072" s="11"/>
      <c r="X1072" s="11"/>
      <c r="Y1072" s="11"/>
      <c r="Z1072" s="11"/>
    </row>
    <row r="1073">
      <c r="A1073" s="18"/>
      <c r="B1073" s="11"/>
      <c r="C1073" s="11"/>
      <c r="D1073" s="11"/>
      <c r="E1073" s="11"/>
      <c r="F1073" s="11"/>
      <c r="G1073" s="11"/>
      <c r="H1073" s="11"/>
      <c r="I1073" s="11"/>
      <c r="J1073" s="11"/>
      <c r="K1073" s="11"/>
      <c r="L1073" s="15"/>
      <c r="M1073" s="15"/>
      <c r="N1073" s="15"/>
      <c r="O1073" s="15"/>
      <c r="P1073" s="15"/>
      <c r="Q1073" s="11"/>
      <c r="R1073" s="11"/>
      <c r="S1073" s="11"/>
      <c r="T1073" s="11"/>
      <c r="U1073" s="15"/>
      <c r="V1073" s="11"/>
      <c r="W1073" s="11"/>
      <c r="X1073" s="11"/>
      <c r="Y1073" s="11"/>
      <c r="Z1073" s="11"/>
    </row>
    <row r="1074">
      <c r="A1074" s="18"/>
      <c r="B1074" s="11"/>
      <c r="C1074" s="11"/>
      <c r="D1074" s="11"/>
      <c r="E1074" s="11"/>
      <c r="F1074" s="11"/>
      <c r="G1074" s="11"/>
      <c r="H1074" s="11"/>
      <c r="I1074" s="11"/>
      <c r="J1074" s="11"/>
      <c r="K1074" s="11"/>
      <c r="L1074" s="15"/>
      <c r="M1074" s="15"/>
      <c r="N1074" s="15"/>
      <c r="O1074" s="15"/>
      <c r="P1074" s="15"/>
      <c r="Q1074" s="11"/>
      <c r="R1074" s="11"/>
      <c r="S1074" s="11"/>
      <c r="T1074" s="11"/>
      <c r="U1074" s="15"/>
      <c r="V1074" s="11"/>
      <c r="W1074" s="11"/>
      <c r="X1074" s="11"/>
      <c r="Y1074" s="11"/>
      <c r="Z1074" s="11"/>
    </row>
    <row r="1075">
      <c r="A1075" s="18"/>
      <c r="B1075" s="11"/>
      <c r="C1075" s="11"/>
      <c r="D1075" s="11"/>
      <c r="E1075" s="11"/>
      <c r="F1075" s="11"/>
      <c r="G1075" s="11"/>
      <c r="H1075" s="11"/>
      <c r="I1075" s="11"/>
      <c r="J1075" s="11"/>
      <c r="K1075" s="11"/>
      <c r="L1075" s="15"/>
      <c r="M1075" s="15"/>
      <c r="N1075" s="15"/>
      <c r="O1075" s="15"/>
      <c r="P1075" s="15"/>
      <c r="Q1075" s="11"/>
      <c r="R1075" s="11"/>
      <c r="S1075" s="11"/>
      <c r="T1075" s="11"/>
      <c r="U1075" s="15"/>
      <c r="V1075" s="11"/>
      <c r="W1075" s="11"/>
      <c r="X1075" s="11"/>
      <c r="Y1075" s="11"/>
      <c r="Z1075" s="11"/>
    </row>
    <row r="1076">
      <c r="A1076" s="18"/>
      <c r="B1076" s="11"/>
      <c r="C1076" s="11"/>
      <c r="D1076" s="11"/>
      <c r="E1076" s="11"/>
      <c r="F1076" s="11"/>
      <c r="G1076" s="11"/>
      <c r="H1076" s="11"/>
      <c r="I1076" s="11"/>
      <c r="J1076" s="11"/>
      <c r="K1076" s="11"/>
      <c r="L1076" s="15"/>
      <c r="M1076" s="15"/>
      <c r="N1076" s="15"/>
      <c r="O1076" s="15"/>
      <c r="P1076" s="15"/>
      <c r="Q1076" s="11"/>
      <c r="R1076" s="11"/>
      <c r="S1076" s="11"/>
      <c r="T1076" s="11"/>
      <c r="U1076" s="15"/>
      <c r="V1076" s="11"/>
      <c r="W1076" s="11"/>
      <c r="X1076" s="11"/>
      <c r="Y1076" s="11"/>
      <c r="Z1076" s="11"/>
    </row>
    <row r="1077">
      <c r="A1077" s="18"/>
      <c r="B1077" s="11"/>
      <c r="C1077" s="11"/>
      <c r="D1077" s="11"/>
      <c r="E1077" s="11"/>
      <c r="F1077" s="11"/>
      <c r="G1077" s="11"/>
      <c r="H1077" s="11"/>
      <c r="I1077" s="11"/>
      <c r="J1077" s="11"/>
      <c r="K1077" s="11"/>
      <c r="L1077" s="15"/>
      <c r="M1077" s="15"/>
      <c r="N1077" s="15"/>
      <c r="O1077" s="15"/>
      <c r="P1077" s="15"/>
      <c r="Q1077" s="11"/>
      <c r="R1077" s="11"/>
      <c r="S1077" s="11"/>
      <c r="T1077" s="11"/>
      <c r="U1077" s="15"/>
      <c r="V1077" s="11"/>
      <c r="W1077" s="11"/>
      <c r="X1077" s="11"/>
      <c r="Y1077" s="11"/>
      <c r="Z1077" s="11"/>
    </row>
    <row r="1078">
      <c r="A1078" s="18"/>
      <c r="B1078" s="11"/>
      <c r="C1078" s="11"/>
      <c r="D1078" s="11"/>
      <c r="E1078" s="11"/>
      <c r="F1078" s="11"/>
      <c r="G1078" s="11"/>
      <c r="H1078" s="11"/>
      <c r="I1078" s="11"/>
      <c r="J1078" s="11"/>
      <c r="K1078" s="11"/>
      <c r="L1078" s="15"/>
      <c r="M1078" s="15"/>
      <c r="N1078" s="15"/>
      <c r="O1078" s="15"/>
      <c r="P1078" s="15"/>
      <c r="Q1078" s="11"/>
      <c r="R1078" s="11"/>
      <c r="S1078" s="11"/>
      <c r="T1078" s="11"/>
      <c r="U1078" s="15"/>
      <c r="V1078" s="11"/>
      <c r="W1078" s="11"/>
      <c r="X1078" s="11"/>
      <c r="Y1078" s="11"/>
      <c r="Z1078" s="11"/>
    </row>
    <row r="1079">
      <c r="A1079" s="18"/>
      <c r="B1079" s="11"/>
      <c r="C1079" s="11"/>
      <c r="D1079" s="11"/>
      <c r="E1079" s="11"/>
      <c r="F1079" s="11"/>
      <c r="G1079" s="11"/>
      <c r="H1079" s="11"/>
      <c r="I1079" s="11"/>
      <c r="J1079" s="11"/>
      <c r="K1079" s="11"/>
      <c r="L1079" s="15"/>
      <c r="M1079" s="15"/>
      <c r="N1079" s="15"/>
      <c r="O1079" s="15"/>
      <c r="P1079" s="15"/>
      <c r="Q1079" s="11"/>
      <c r="R1079" s="11"/>
      <c r="S1079" s="11"/>
      <c r="T1079" s="11"/>
      <c r="U1079" s="15"/>
      <c r="V1079" s="11"/>
      <c r="W1079" s="11"/>
      <c r="X1079" s="11"/>
      <c r="Y1079" s="11"/>
      <c r="Z1079" s="11"/>
    </row>
    <row r="1080">
      <c r="A1080" s="18"/>
      <c r="B1080" s="11"/>
      <c r="C1080" s="11"/>
      <c r="D1080" s="11"/>
      <c r="E1080" s="11"/>
      <c r="F1080" s="11"/>
      <c r="G1080" s="11"/>
      <c r="H1080" s="11"/>
      <c r="I1080" s="11"/>
      <c r="J1080" s="11"/>
      <c r="K1080" s="11"/>
      <c r="L1080" s="15"/>
      <c r="M1080" s="15"/>
      <c r="N1080" s="15"/>
      <c r="O1080" s="15"/>
      <c r="P1080" s="15"/>
      <c r="Q1080" s="11"/>
      <c r="R1080" s="11"/>
      <c r="S1080" s="11"/>
      <c r="T1080" s="11"/>
      <c r="U1080" s="15"/>
      <c r="V1080" s="11"/>
      <c r="W1080" s="11"/>
      <c r="X1080" s="11"/>
      <c r="Y1080" s="11"/>
      <c r="Z1080" s="11"/>
    </row>
    <row r="1081">
      <c r="A1081" s="18"/>
      <c r="B1081" s="11"/>
      <c r="C1081" s="11"/>
      <c r="D1081" s="11"/>
      <c r="E1081" s="11"/>
      <c r="F1081" s="11"/>
      <c r="G1081" s="11"/>
      <c r="H1081" s="11"/>
      <c r="I1081" s="11"/>
      <c r="J1081" s="11"/>
      <c r="K1081" s="11"/>
      <c r="L1081" s="15"/>
      <c r="M1081" s="15"/>
      <c r="N1081" s="15"/>
      <c r="O1081" s="15"/>
      <c r="P1081" s="15"/>
      <c r="Q1081" s="11"/>
      <c r="R1081" s="11"/>
      <c r="S1081" s="11"/>
      <c r="T1081" s="11"/>
      <c r="U1081" s="15"/>
      <c r="V1081" s="11"/>
      <c r="W1081" s="11"/>
      <c r="X1081" s="11"/>
      <c r="Y1081" s="11"/>
      <c r="Z1081" s="11"/>
    </row>
    <row r="1082">
      <c r="A1082" s="18"/>
      <c r="B1082" s="11"/>
      <c r="C1082" s="11"/>
      <c r="D1082" s="11"/>
      <c r="E1082" s="11"/>
      <c r="F1082" s="11"/>
      <c r="G1082" s="11"/>
      <c r="H1082" s="11"/>
      <c r="I1082" s="11"/>
      <c r="J1082" s="11"/>
      <c r="K1082" s="11"/>
      <c r="L1082" s="15"/>
      <c r="M1082" s="15"/>
      <c r="N1082" s="15"/>
      <c r="O1082" s="15"/>
      <c r="P1082" s="15"/>
      <c r="Q1082" s="11"/>
      <c r="R1082" s="11"/>
      <c r="S1082" s="11"/>
      <c r="T1082" s="11"/>
      <c r="U1082" s="15"/>
      <c r="V1082" s="11"/>
      <c r="W1082" s="11"/>
      <c r="X1082" s="11"/>
      <c r="Y1082" s="11"/>
      <c r="Z1082" s="11"/>
    </row>
    <row r="1083">
      <c r="A1083" s="18"/>
      <c r="B1083" s="11"/>
      <c r="C1083" s="11"/>
      <c r="D1083" s="11"/>
      <c r="E1083" s="11"/>
      <c r="F1083" s="11"/>
      <c r="G1083" s="11"/>
      <c r="H1083" s="11"/>
      <c r="I1083" s="11"/>
      <c r="J1083" s="11"/>
      <c r="K1083" s="11"/>
      <c r="L1083" s="15"/>
      <c r="M1083" s="15"/>
      <c r="N1083" s="15"/>
      <c r="O1083" s="15"/>
      <c r="P1083" s="15"/>
      <c r="Q1083" s="11"/>
      <c r="R1083" s="11"/>
      <c r="S1083" s="11"/>
      <c r="T1083" s="11"/>
      <c r="U1083" s="15"/>
      <c r="V1083" s="11"/>
      <c r="W1083" s="11"/>
      <c r="X1083" s="11"/>
      <c r="Y1083" s="11"/>
      <c r="Z1083" s="11"/>
    </row>
    <row r="1084">
      <c r="A1084" s="18"/>
      <c r="B1084" s="11"/>
      <c r="C1084" s="11"/>
      <c r="D1084" s="11"/>
      <c r="E1084" s="11"/>
      <c r="F1084" s="11"/>
      <c r="G1084" s="11"/>
      <c r="H1084" s="11"/>
      <c r="I1084" s="11"/>
      <c r="J1084" s="11"/>
      <c r="K1084" s="11"/>
      <c r="L1084" s="15"/>
      <c r="M1084" s="15"/>
      <c r="N1084" s="15"/>
      <c r="O1084" s="15"/>
      <c r="P1084" s="15"/>
      <c r="Q1084" s="11"/>
      <c r="R1084" s="11"/>
      <c r="S1084" s="11"/>
      <c r="T1084" s="11"/>
      <c r="U1084" s="15"/>
      <c r="V1084" s="11"/>
      <c r="W1084" s="11"/>
      <c r="X1084" s="11"/>
      <c r="Y1084" s="11"/>
      <c r="Z1084" s="11"/>
    </row>
    <row r="1085">
      <c r="A1085" s="18"/>
      <c r="B1085" s="11"/>
      <c r="C1085" s="11"/>
      <c r="D1085" s="11"/>
      <c r="E1085" s="11"/>
      <c r="F1085" s="11"/>
      <c r="G1085" s="11"/>
      <c r="H1085" s="11"/>
      <c r="I1085" s="11"/>
      <c r="J1085" s="11"/>
      <c r="K1085" s="11"/>
      <c r="L1085" s="15"/>
      <c r="M1085" s="15"/>
      <c r="N1085" s="15"/>
      <c r="O1085" s="15"/>
      <c r="P1085" s="15"/>
      <c r="Q1085" s="11"/>
      <c r="R1085" s="11"/>
      <c r="S1085" s="11"/>
      <c r="T1085" s="11"/>
      <c r="U1085" s="15"/>
      <c r="V1085" s="11"/>
      <c r="W1085" s="11"/>
      <c r="X1085" s="11"/>
      <c r="Y1085" s="11"/>
      <c r="Z1085" s="11"/>
    </row>
    <row r="1086">
      <c r="A1086" s="18"/>
      <c r="B1086" s="11"/>
      <c r="C1086" s="11"/>
      <c r="D1086" s="11"/>
      <c r="E1086" s="11"/>
      <c r="F1086" s="11"/>
      <c r="G1086" s="11"/>
      <c r="H1086" s="11"/>
      <c r="I1086" s="11"/>
      <c r="J1086" s="11"/>
      <c r="K1086" s="11"/>
      <c r="L1086" s="15"/>
      <c r="M1086" s="15"/>
      <c r="N1086" s="15"/>
      <c r="O1086" s="15"/>
      <c r="P1086" s="15"/>
      <c r="Q1086" s="11"/>
      <c r="R1086" s="11"/>
      <c r="S1086" s="11"/>
      <c r="T1086" s="11"/>
      <c r="U1086" s="15"/>
      <c r="V1086" s="11"/>
      <c r="W1086" s="11"/>
      <c r="X1086" s="11"/>
      <c r="Y1086" s="11"/>
      <c r="Z1086" s="11"/>
    </row>
    <row r="1087">
      <c r="A1087" s="18"/>
      <c r="B1087" s="11"/>
      <c r="C1087" s="11"/>
      <c r="D1087" s="11"/>
      <c r="E1087" s="11"/>
      <c r="F1087" s="11"/>
      <c r="G1087" s="11"/>
      <c r="H1087" s="11"/>
      <c r="I1087" s="11"/>
      <c r="J1087" s="11"/>
      <c r="K1087" s="11"/>
      <c r="L1087" s="15"/>
      <c r="M1087" s="15"/>
      <c r="N1087" s="15"/>
      <c r="O1087" s="15"/>
      <c r="P1087" s="15"/>
      <c r="Q1087" s="11"/>
      <c r="R1087" s="11"/>
      <c r="S1087" s="11"/>
      <c r="T1087" s="11"/>
      <c r="U1087" s="15"/>
      <c r="V1087" s="11"/>
      <c r="W1087" s="11"/>
      <c r="X1087" s="11"/>
      <c r="Y1087" s="11"/>
      <c r="Z1087" s="11"/>
    </row>
    <row r="1088">
      <c r="A1088" s="18"/>
      <c r="B1088" s="11"/>
      <c r="C1088" s="11"/>
      <c r="D1088" s="11"/>
      <c r="E1088" s="11"/>
      <c r="F1088" s="11"/>
      <c r="G1088" s="11"/>
      <c r="H1088" s="11"/>
      <c r="I1088" s="11"/>
      <c r="J1088" s="11"/>
      <c r="K1088" s="11"/>
      <c r="L1088" s="15"/>
      <c r="M1088" s="15"/>
      <c r="N1088" s="15"/>
      <c r="O1088" s="15"/>
      <c r="P1088" s="15"/>
      <c r="Q1088" s="11"/>
      <c r="R1088" s="11"/>
      <c r="S1088" s="11"/>
      <c r="T1088" s="11"/>
      <c r="U1088" s="15"/>
      <c r="V1088" s="11"/>
      <c r="W1088" s="11"/>
      <c r="X1088" s="11"/>
      <c r="Y1088" s="11"/>
      <c r="Z1088" s="11"/>
    </row>
    <row r="1089">
      <c r="A1089" s="18"/>
      <c r="B1089" s="11"/>
      <c r="C1089" s="11"/>
      <c r="D1089" s="11"/>
      <c r="E1089" s="11"/>
      <c r="F1089" s="11"/>
      <c r="G1089" s="11"/>
      <c r="H1089" s="11"/>
      <c r="I1089" s="11"/>
      <c r="J1089" s="11"/>
      <c r="K1089" s="11"/>
      <c r="L1089" s="15"/>
      <c r="M1089" s="15"/>
      <c r="N1089" s="15"/>
      <c r="O1089" s="15"/>
      <c r="P1089" s="15"/>
      <c r="Q1089" s="11"/>
      <c r="R1089" s="11"/>
      <c r="S1089" s="11"/>
      <c r="T1089" s="11"/>
      <c r="U1089" s="15"/>
      <c r="V1089" s="11"/>
      <c r="W1089" s="11"/>
      <c r="X1089" s="11"/>
      <c r="Y1089" s="11"/>
      <c r="Z1089" s="11"/>
    </row>
    <row r="1090">
      <c r="A1090" s="18"/>
      <c r="B1090" s="11"/>
      <c r="C1090" s="11"/>
      <c r="D1090" s="11"/>
      <c r="E1090" s="11"/>
      <c r="F1090" s="11"/>
      <c r="G1090" s="11"/>
      <c r="H1090" s="11"/>
      <c r="I1090" s="11"/>
      <c r="J1090" s="11"/>
      <c r="K1090" s="11"/>
      <c r="L1090" s="15"/>
      <c r="M1090" s="15"/>
      <c r="N1090" s="15"/>
      <c r="O1090" s="15"/>
      <c r="P1090" s="15"/>
      <c r="Q1090" s="11"/>
      <c r="R1090" s="11"/>
      <c r="S1090" s="11"/>
      <c r="T1090" s="11"/>
      <c r="U1090" s="15"/>
      <c r="V1090" s="11"/>
      <c r="W1090" s="11"/>
      <c r="X1090" s="11"/>
      <c r="Y1090" s="11"/>
      <c r="Z1090" s="11"/>
    </row>
    <row r="1091">
      <c r="A1091" s="18"/>
      <c r="B1091" s="11"/>
      <c r="C1091" s="11"/>
      <c r="D1091" s="11"/>
      <c r="E1091" s="11"/>
      <c r="F1091" s="11"/>
      <c r="G1091" s="11"/>
      <c r="H1091" s="11"/>
      <c r="I1091" s="11"/>
      <c r="J1091" s="11"/>
      <c r="K1091" s="11"/>
      <c r="L1091" s="15"/>
      <c r="M1091" s="15"/>
      <c r="N1091" s="15"/>
      <c r="O1091" s="15"/>
      <c r="P1091" s="15"/>
      <c r="Q1091" s="11"/>
      <c r="R1091" s="11"/>
      <c r="S1091" s="11"/>
      <c r="T1091" s="11"/>
      <c r="U1091" s="15"/>
      <c r="V1091" s="11"/>
      <c r="W1091" s="11"/>
      <c r="X1091" s="11"/>
      <c r="Y1091" s="11"/>
      <c r="Z1091" s="11"/>
    </row>
    <row r="1092">
      <c r="A1092" s="18"/>
      <c r="B1092" s="11"/>
      <c r="C1092" s="11"/>
      <c r="D1092" s="11"/>
      <c r="E1092" s="11"/>
      <c r="F1092" s="11"/>
      <c r="G1092" s="11"/>
      <c r="H1092" s="11"/>
      <c r="I1092" s="11"/>
      <c r="J1092" s="11"/>
      <c r="K1092" s="11"/>
      <c r="L1092" s="15"/>
      <c r="M1092" s="15"/>
      <c r="N1092" s="15"/>
      <c r="O1092" s="15"/>
      <c r="P1092" s="15"/>
      <c r="Q1092" s="11"/>
      <c r="R1092" s="11"/>
      <c r="S1092" s="11"/>
      <c r="T1092" s="11"/>
      <c r="U1092" s="15"/>
      <c r="V1092" s="11"/>
      <c r="W1092" s="11"/>
      <c r="X1092" s="11"/>
      <c r="Y1092" s="11"/>
      <c r="Z1092" s="11"/>
    </row>
    <row r="1093">
      <c r="A1093" s="18"/>
      <c r="B1093" s="11"/>
      <c r="C1093" s="11"/>
      <c r="D1093" s="11"/>
      <c r="E1093" s="11"/>
      <c r="F1093" s="11"/>
      <c r="G1093" s="11"/>
      <c r="H1093" s="11"/>
      <c r="I1093" s="11"/>
      <c r="J1093" s="11"/>
      <c r="K1093" s="11"/>
      <c r="L1093" s="15"/>
      <c r="M1093" s="15"/>
      <c r="N1093" s="15"/>
      <c r="O1093" s="15"/>
      <c r="P1093" s="15"/>
      <c r="Q1093" s="11"/>
      <c r="R1093" s="11"/>
      <c r="S1093" s="11"/>
      <c r="T1093" s="11"/>
      <c r="U1093" s="15"/>
      <c r="V1093" s="11"/>
      <c r="W1093" s="11"/>
      <c r="X1093" s="11"/>
      <c r="Y1093" s="11"/>
      <c r="Z1093" s="11"/>
    </row>
    <row r="1094">
      <c r="A1094" s="18"/>
      <c r="B1094" s="11"/>
      <c r="C1094" s="11"/>
      <c r="D1094" s="11"/>
      <c r="E1094" s="11"/>
      <c r="F1094" s="11"/>
      <c r="G1094" s="11"/>
      <c r="H1094" s="11"/>
      <c r="I1094" s="11"/>
      <c r="J1094" s="11"/>
      <c r="K1094" s="11"/>
      <c r="L1094" s="15"/>
      <c r="M1094" s="15"/>
      <c r="N1094" s="15"/>
      <c r="O1094" s="15"/>
      <c r="P1094" s="15"/>
      <c r="Q1094" s="11"/>
      <c r="R1094" s="11"/>
      <c r="S1094" s="11"/>
      <c r="T1094" s="11"/>
      <c r="U1094" s="15"/>
      <c r="V1094" s="11"/>
      <c r="W1094" s="11"/>
      <c r="X1094" s="11"/>
      <c r="Y1094" s="11"/>
      <c r="Z1094" s="11"/>
    </row>
    <row r="1095">
      <c r="A1095" s="18"/>
      <c r="B1095" s="11"/>
      <c r="C1095" s="11"/>
      <c r="D1095" s="11"/>
      <c r="E1095" s="11"/>
      <c r="F1095" s="11"/>
      <c r="G1095" s="11"/>
      <c r="H1095" s="11"/>
      <c r="I1095" s="11"/>
      <c r="J1095" s="11"/>
      <c r="K1095" s="11"/>
      <c r="L1095" s="15"/>
      <c r="M1095" s="15"/>
      <c r="N1095" s="15"/>
      <c r="O1095" s="15"/>
      <c r="P1095" s="15"/>
      <c r="Q1095" s="11"/>
      <c r="R1095" s="11"/>
      <c r="S1095" s="11"/>
      <c r="T1095" s="11"/>
      <c r="U1095" s="15"/>
      <c r="V1095" s="11"/>
      <c r="W1095" s="11"/>
      <c r="X1095" s="11"/>
      <c r="Y1095" s="11"/>
      <c r="Z1095" s="11"/>
    </row>
    <row r="1096">
      <c r="A1096" s="18"/>
      <c r="B1096" s="11"/>
      <c r="C1096" s="11"/>
      <c r="D1096" s="11"/>
      <c r="E1096" s="11"/>
      <c r="F1096" s="11"/>
      <c r="G1096" s="11"/>
      <c r="H1096" s="11"/>
      <c r="I1096" s="11"/>
      <c r="J1096" s="11"/>
      <c r="K1096" s="11"/>
      <c r="L1096" s="15"/>
      <c r="M1096" s="15"/>
      <c r="N1096" s="15"/>
      <c r="O1096" s="15"/>
      <c r="P1096" s="15"/>
      <c r="Q1096" s="11"/>
      <c r="R1096" s="11"/>
      <c r="S1096" s="11"/>
      <c r="T1096" s="11"/>
      <c r="U1096" s="15"/>
      <c r="V1096" s="11"/>
      <c r="W1096" s="11"/>
      <c r="X1096" s="11"/>
      <c r="Y1096" s="11"/>
      <c r="Z1096" s="11"/>
    </row>
    <row r="1097">
      <c r="A1097" s="18"/>
      <c r="B1097" s="11"/>
      <c r="C1097" s="11"/>
      <c r="D1097" s="11"/>
      <c r="E1097" s="11"/>
      <c r="F1097" s="11"/>
      <c r="G1097" s="11"/>
      <c r="H1097" s="11"/>
      <c r="I1097" s="11"/>
      <c r="J1097" s="11"/>
      <c r="K1097" s="11"/>
      <c r="L1097" s="15"/>
      <c r="M1097" s="15"/>
      <c r="N1097" s="15"/>
      <c r="O1097" s="15"/>
      <c r="P1097" s="15"/>
      <c r="Q1097" s="11"/>
      <c r="R1097" s="11"/>
      <c r="S1097" s="11"/>
      <c r="T1097" s="11"/>
      <c r="U1097" s="15"/>
      <c r="V1097" s="11"/>
      <c r="W1097" s="11"/>
      <c r="X1097" s="11"/>
      <c r="Y1097" s="11"/>
      <c r="Z1097" s="11"/>
    </row>
    <row r="1098">
      <c r="A1098" s="18"/>
      <c r="B1098" s="11"/>
      <c r="C1098" s="11"/>
      <c r="D1098" s="11"/>
      <c r="E1098" s="11"/>
      <c r="F1098" s="11"/>
      <c r="G1098" s="11"/>
      <c r="H1098" s="11"/>
      <c r="I1098" s="11"/>
      <c r="J1098" s="11"/>
      <c r="K1098" s="11"/>
      <c r="L1098" s="15"/>
      <c r="M1098" s="15"/>
      <c r="N1098" s="15"/>
      <c r="O1098" s="15"/>
      <c r="P1098" s="15"/>
      <c r="Q1098" s="11"/>
      <c r="R1098" s="11"/>
      <c r="S1098" s="11"/>
      <c r="T1098" s="11"/>
      <c r="U1098" s="15"/>
      <c r="V1098" s="11"/>
      <c r="W1098" s="11"/>
      <c r="X1098" s="11"/>
      <c r="Y1098" s="11"/>
      <c r="Z1098" s="11"/>
    </row>
    <row r="1099">
      <c r="A1099" s="18"/>
      <c r="B1099" s="11"/>
      <c r="C1099" s="11"/>
      <c r="D1099" s="11"/>
      <c r="E1099" s="11"/>
      <c r="F1099" s="11"/>
      <c r="G1099" s="11"/>
      <c r="H1099" s="11"/>
      <c r="I1099" s="11"/>
      <c r="J1099" s="11"/>
      <c r="K1099" s="11"/>
      <c r="L1099" s="15"/>
      <c r="M1099" s="15"/>
      <c r="N1099" s="15"/>
      <c r="O1099" s="15"/>
      <c r="P1099" s="15"/>
      <c r="Q1099" s="11"/>
      <c r="R1099" s="11"/>
      <c r="S1099" s="11"/>
      <c r="T1099" s="11"/>
      <c r="U1099" s="15"/>
      <c r="V1099" s="11"/>
      <c r="W1099" s="11"/>
      <c r="X1099" s="11"/>
      <c r="Y1099" s="11"/>
      <c r="Z1099" s="11"/>
    </row>
    <row r="1100">
      <c r="A1100" s="18"/>
      <c r="B1100" s="11"/>
      <c r="C1100" s="11"/>
      <c r="D1100" s="11"/>
      <c r="E1100" s="11"/>
      <c r="F1100" s="11"/>
      <c r="G1100" s="11"/>
      <c r="H1100" s="11"/>
      <c r="I1100" s="11"/>
      <c r="J1100" s="11"/>
      <c r="K1100" s="11"/>
      <c r="L1100" s="15"/>
      <c r="M1100" s="15"/>
      <c r="N1100" s="15"/>
      <c r="O1100" s="15"/>
      <c r="P1100" s="15"/>
      <c r="Q1100" s="11"/>
      <c r="R1100" s="11"/>
      <c r="S1100" s="11"/>
      <c r="T1100" s="11"/>
      <c r="U1100" s="15"/>
      <c r="V1100" s="11"/>
      <c r="W1100" s="11"/>
      <c r="X1100" s="11"/>
      <c r="Y1100" s="11"/>
      <c r="Z1100" s="11"/>
    </row>
  </sheetData>
  <hyperlinks>
    <hyperlink r:id="rId1" ref="F5"/>
    <hyperlink r:id="rId2" ref="G5"/>
    <hyperlink r:id="rId3" ref="F7"/>
    <hyperlink r:id="rId4" ref="F8"/>
    <hyperlink r:id="rId5" ref="G8"/>
    <hyperlink r:id="rId6" ref="F9"/>
    <hyperlink r:id="rId7" ref="G9"/>
    <hyperlink r:id="rId8" ref="F10"/>
    <hyperlink r:id="rId9" ref="G10"/>
    <hyperlink r:id="rId10" ref="F11"/>
    <hyperlink r:id="rId11" ref="G14"/>
    <hyperlink r:id="rId12" ref="F15"/>
    <hyperlink r:id="rId13" ref="G15"/>
    <hyperlink r:id="rId14" ref="G16"/>
    <hyperlink r:id="rId15" ref="F17"/>
    <hyperlink r:id="rId16" ref="F18"/>
    <hyperlink r:id="rId17" ref="G18"/>
    <hyperlink r:id="rId18" ref="F21"/>
    <hyperlink r:id="rId19" ref="F22"/>
    <hyperlink r:id="rId20" ref="S27"/>
    <hyperlink r:id="rId21" ref="S28"/>
    <hyperlink r:id="rId22" ref="S29"/>
    <hyperlink r:id="rId23" ref="S31"/>
    <hyperlink r:id="rId24" ref="S32"/>
    <hyperlink r:id="rId25" ref="F33"/>
    <hyperlink r:id="rId26" ref="S35"/>
    <hyperlink r:id="rId27" ref="S36"/>
    <hyperlink r:id="rId28" ref="F37"/>
    <hyperlink r:id="rId29" ref="S38"/>
    <hyperlink r:id="rId30" ref="G39"/>
    <hyperlink r:id="rId31" ref="F40"/>
    <hyperlink r:id="rId32" ref="S41"/>
    <hyperlink r:id="rId33" ref="S42"/>
    <hyperlink r:id="rId34" ref="F43"/>
    <hyperlink r:id="rId35" ref="F44"/>
    <hyperlink r:id="rId36" ref="G44"/>
    <hyperlink r:id="rId37" ref="F46"/>
    <hyperlink r:id="rId38" ref="G46"/>
    <hyperlink r:id="rId39" ref="G47"/>
    <hyperlink r:id="rId40" ref="F52"/>
    <hyperlink r:id="rId41" ref="G52"/>
    <hyperlink r:id="rId42" ref="S52"/>
    <hyperlink r:id="rId43" ref="G53"/>
    <hyperlink r:id="rId44" ref="F54"/>
    <hyperlink r:id="rId45" ref="G54"/>
    <hyperlink r:id="rId46" ref="F55"/>
    <hyperlink r:id="rId47" ref="F56"/>
    <hyperlink r:id="rId48" ref="S57"/>
    <hyperlink r:id="rId49" ref="G58"/>
    <hyperlink r:id="rId50" ref="F59"/>
    <hyperlink r:id="rId51" ref="F60"/>
    <hyperlink r:id="rId52" ref="G60"/>
    <hyperlink r:id="rId53" ref="F61"/>
    <hyperlink r:id="rId54" ref="G61"/>
    <hyperlink r:id="rId55" ref="S61"/>
    <hyperlink r:id="rId56" ref="G64"/>
    <hyperlink r:id="rId57" ref="S64"/>
    <hyperlink r:id="rId58" ref="S65"/>
    <hyperlink r:id="rId59" ref="F66"/>
    <hyperlink r:id="rId60" ref="G67"/>
    <hyperlink r:id="rId61" ref="F68"/>
    <hyperlink r:id="rId62" ref="S68"/>
    <hyperlink r:id="rId63" ref="G70"/>
    <hyperlink r:id="rId64" ref="S73"/>
    <hyperlink r:id="rId65" ref="F74"/>
    <hyperlink r:id="rId66" ref="G74"/>
    <hyperlink r:id="rId67" ref="S74"/>
    <hyperlink r:id="rId68" ref="F77"/>
    <hyperlink r:id="rId69" ref="G77"/>
    <hyperlink r:id="rId70" ref="S78"/>
    <hyperlink r:id="rId71" ref="F79"/>
    <hyperlink r:id="rId72" ref="G79"/>
    <hyperlink r:id="rId73" ref="F81"/>
    <hyperlink r:id="rId74" ref="G81"/>
    <hyperlink r:id="rId75" ref="G82"/>
    <hyperlink r:id="rId76" ref="S82"/>
    <hyperlink r:id="rId77" ref="F83"/>
    <hyperlink r:id="rId78" ref="G83"/>
    <hyperlink r:id="rId79" ref="F84"/>
    <hyperlink r:id="rId80" ref="G84"/>
    <hyperlink r:id="rId81" ref="S85"/>
    <hyperlink r:id="rId82" ref="G89"/>
    <hyperlink r:id="rId83" ref="G91"/>
    <hyperlink r:id="rId84" ref="S94"/>
    <hyperlink r:id="rId85" ref="G95"/>
    <hyperlink r:id="rId86" ref="S95"/>
    <hyperlink r:id="rId87" ref="G96"/>
    <hyperlink r:id="rId88" ref="S98"/>
    <hyperlink r:id="rId89" ref="F99"/>
    <hyperlink r:id="rId90" ref="F100"/>
    <hyperlink r:id="rId91" ref="G101"/>
    <hyperlink r:id="rId92" ref="F102"/>
  </hyperlinks>
  <drawing r:id="rId93"/>
  <tableParts count="1">
    <tablePart r:id="rId9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 width="15.86"/>
    <col customWidth="1" min="3" max="3" width="21.57"/>
    <col customWidth="1" min="4" max="4" width="43.0"/>
    <col customWidth="1" min="5" max="5" width="18.71"/>
    <col customWidth="1" min="6" max="6" width="21.57"/>
  </cols>
  <sheetData>
    <row r="1" ht="24.0" customHeight="1">
      <c r="A1" s="1"/>
      <c r="B1" s="2" t="s">
        <v>1216</v>
      </c>
      <c r="C1" s="3"/>
      <c r="D1" s="3"/>
      <c r="E1" s="3"/>
      <c r="F1" s="3"/>
      <c r="G1" s="3"/>
      <c r="H1" s="3"/>
      <c r="I1" s="3"/>
      <c r="J1" s="3"/>
      <c r="K1" s="3"/>
      <c r="L1" s="4"/>
      <c r="M1" s="4"/>
      <c r="N1" s="4"/>
      <c r="O1" s="4"/>
      <c r="P1" s="4"/>
      <c r="Q1" s="3"/>
      <c r="R1" s="3"/>
      <c r="S1" s="3"/>
      <c r="T1" s="3"/>
      <c r="U1" s="4"/>
      <c r="V1" s="3"/>
      <c r="W1" s="3"/>
      <c r="X1" s="3"/>
      <c r="Y1" s="3"/>
      <c r="Z1" s="3"/>
    </row>
    <row r="2" ht="24.0" customHeight="1">
      <c r="A2" s="5" t="s">
        <v>1</v>
      </c>
      <c r="B2" s="6" t="s">
        <v>2</v>
      </c>
      <c r="C2" s="6" t="s">
        <v>3</v>
      </c>
      <c r="D2" s="6" t="s">
        <v>4</v>
      </c>
      <c r="E2" s="6" t="s">
        <v>5</v>
      </c>
      <c r="F2" s="6" t="s">
        <v>6</v>
      </c>
      <c r="G2" s="6" t="s">
        <v>7</v>
      </c>
      <c r="H2" s="6" t="s">
        <v>8</v>
      </c>
      <c r="I2" s="6" t="s">
        <v>9</v>
      </c>
      <c r="J2" s="6" t="s">
        <v>10</v>
      </c>
      <c r="K2" s="6" t="s">
        <v>11</v>
      </c>
      <c r="L2" s="5" t="s">
        <v>12</v>
      </c>
      <c r="M2" s="5" t="s">
        <v>13</v>
      </c>
      <c r="N2" s="5" t="s">
        <v>14</v>
      </c>
      <c r="O2" s="5" t="s">
        <v>15</v>
      </c>
      <c r="P2" s="5" t="s">
        <v>16</v>
      </c>
      <c r="Q2" s="6" t="s">
        <v>8</v>
      </c>
      <c r="R2" s="6" t="s">
        <v>17</v>
      </c>
      <c r="S2" s="6" t="s">
        <v>18</v>
      </c>
      <c r="T2" s="6" t="s">
        <v>19</v>
      </c>
      <c r="U2" s="5" t="s">
        <v>20</v>
      </c>
      <c r="V2" s="7"/>
      <c r="W2" s="7"/>
      <c r="X2" s="7"/>
      <c r="Y2" s="7"/>
      <c r="Z2" s="7"/>
    </row>
    <row r="3">
      <c r="A3" s="8">
        <v>44222.55589120371</v>
      </c>
      <c r="B3" s="9" t="str">
        <f>HYPERLINK("https://twitter.com/ArteHispanico","@ArteHispanico")</f>
        <v>@ArteHispanico</v>
      </c>
      <c r="C3" s="10" t="s">
        <v>1217</v>
      </c>
      <c r="D3" s="10" t="s">
        <v>1218</v>
      </c>
      <c r="E3" s="9" t="str">
        <f>HYPERLINK("https://twitter.com/ArteHispanico/status/1354177415669551104","1354177415669551104")</f>
        <v>1354177415669551104</v>
      </c>
      <c r="F3" s="11"/>
      <c r="G3" s="12" t="s">
        <v>1219</v>
      </c>
      <c r="H3" s="11"/>
      <c r="I3" s="13">
        <v>0.0</v>
      </c>
      <c r="J3" s="13">
        <v>0.0</v>
      </c>
      <c r="K3" s="9" t="str">
        <f>HYPERLINK("https://www.offtheeasel.com/","Off The Easel Bots")</f>
        <v>Off The Easel Bots</v>
      </c>
      <c r="L3" s="14">
        <v>476.0</v>
      </c>
      <c r="M3" s="14">
        <v>42.0</v>
      </c>
      <c r="N3" s="14">
        <v>9.0</v>
      </c>
      <c r="O3" s="15"/>
      <c r="P3" s="16">
        <v>43884.511817129634</v>
      </c>
      <c r="Q3" s="11"/>
      <c r="R3" s="10" t="s">
        <v>1220</v>
      </c>
      <c r="S3" s="11"/>
      <c r="T3" s="11"/>
      <c r="U3" s="17" t="str">
        <f>HYPERLINK("https://pbs.twimg.com/profile_images/1231797796946292737/YaAY39gm.jpg","View")</f>
        <v>View</v>
      </c>
      <c r="V3" s="11"/>
      <c r="W3" s="11"/>
      <c r="X3" s="11"/>
      <c r="Y3" s="11"/>
      <c r="Z3" s="11"/>
    </row>
    <row r="4">
      <c r="A4" s="8">
        <v>44222.555555555555</v>
      </c>
      <c r="B4" s="9" t="str">
        <f>HYPERLINK("https://twitter.com/latercera","@latercera")</f>
        <v>@latercera</v>
      </c>
      <c r="C4" s="10" t="s">
        <v>1221</v>
      </c>
      <c r="D4" s="10" t="s">
        <v>1222</v>
      </c>
      <c r="E4" s="9" t="str">
        <f>HYPERLINK("https://twitter.com/latercera/status/1354177291174240259","1354177291174240259")</f>
        <v>1354177291174240259</v>
      </c>
      <c r="F4" s="12" t="s">
        <v>1223</v>
      </c>
      <c r="G4" s="12" t="s">
        <v>1224</v>
      </c>
      <c r="H4" s="11"/>
      <c r="I4" s="13">
        <v>1.0</v>
      </c>
      <c r="J4" s="13">
        <v>0.0</v>
      </c>
      <c r="K4" s="9" t="str">
        <f>HYPERLINK("https://studio.twitter.com","Twitter Media Studio")</f>
        <v>Twitter Media Studio</v>
      </c>
      <c r="L4" s="14">
        <v>1968489.0</v>
      </c>
      <c r="M4" s="14">
        <v>222073.0</v>
      </c>
      <c r="N4" s="14">
        <v>6822.0</v>
      </c>
      <c r="O4" s="19" t="s">
        <v>1225</v>
      </c>
      <c r="P4" s="16">
        <v>39174.348773148144</v>
      </c>
      <c r="Q4" s="10" t="s">
        <v>1226</v>
      </c>
      <c r="R4" s="10" t="s">
        <v>1227</v>
      </c>
      <c r="S4" s="12" t="s">
        <v>1228</v>
      </c>
      <c r="T4" s="11"/>
      <c r="U4" s="17" t="str">
        <f>HYPERLINK("https://pbs.twimg.com/profile_images/1044643886830891010/mtzLUR40.jpg","View")</f>
        <v>View</v>
      </c>
      <c r="V4" s="11"/>
      <c r="W4" s="11"/>
      <c r="X4" s="11"/>
      <c r="Y4" s="11"/>
      <c r="Z4" s="11"/>
    </row>
    <row r="5">
      <c r="A5" s="8">
        <v>44222.554872685185</v>
      </c>
      <c r="B5" s="9" t="str">
        <f>HYPERLINK("https://twitter.com/death4sake","@death4sake")</f>
        <v>@death4sake</v>
      </c>
      <c r="C5" s="10" t="s">
        <v>1229</v>
      </c>
      <c r="D5" s="10" t="s">
        <v>1230</v>
      </c>
      <c r="E5" s="9" t="str">
        <f>HYPERLINK("https://twitter.com/death4sake/status/1354177043127275528","1354177043127275528")</f>
        <v>1354177043127275528</v>
      </c>
      <c r="F5" s="11"/>
      <c r="G5" s="11"/>
      <c r="H5" s="11"/>
      <c r="I5" s="13">
        <v>1.0</v>
      </c>
      <c r="J5" s="13">
        <v>2.0</v>
      </c>
      <c r="K5" s="9" t="str">
        <f t="shared" ref="K5:K6" si="1">HYPERLINK("http://twitter.com/download/android","Twitter for Android")</f>
        <v>Twitter for Android</v>
      </c>
      <c r="L5" s="14">
        <v>534.0</v>
      </c>
      <c r="M5" s="14">
        <v>667.0</v>
      </c>
      <c r="N5" s="14">
        <v>5.0</v>
      </c>
      <c r="O5" s="15"/>
      <c r="P5" s="16">
        <v>41085.257893518516</v>
      </c>
      <c r="Q5" s="10" t="s">
        <v>799</v>
      </c>
      <c r="R5" s="10" t="s">
        <v>1231</v>
      </c>
      <c r="S5" s="11"/>
      <c r="T5" s="11"/>
      <c r="U5" s="17" t="str">
        <f>HYPERLINK("https://pbs.twimg.com/profile_images/1348406462381510656/_yJc648S.jpg","View")</f>
        <v>View</v>
      </c>
      <c r="V5" s="11"/>
      <c r="W5" s="11"/>
      <c r="X5" s="11"/>
      <c r="Y5" s="11"/>
      <c r="Z5" s="11"/>
    </row>
    <row r="6">
      <c r="A6" s="8">
        <v>44222.55447916666</v>
      </c>
      <c r="B6" s="9" t="str">
        <f>HYPERLINK("https://twitter.com/milkaonuclear","@milkaonuclear")</f>
        <v>@milkaonuclear</v>
      </c>
      <c r="C6" s="10" t="s">
        <v>1232</v>
      </c>
      <c r="D6" s="10" t="s">
        <v>1233</v>
      </c>
      <c r="E6" s="9" t="str">
        <f>HYPERLINK("https://twitter.com/milkaonuclear/status/1354176902295117829","1354176902295117829")</f>
        <v>1354176902295117829</v>
      </c>
      <c r="F6" s="11"/>
      <c r="G6" s="11"/>
      <c r="H6" s="11"/>
      <c r="I6" s="13">
        <v>0.0</v>
      </c>
      <c r="J6" s="13">
        <v>0.0</v>
      </c>
      <c r="K6" s="9" t="str">
        <f t="shared" si="1"/>
        <v>Twitter for Android</v>
      </c>
      <c r="L6" s="14">
        <v>81.0</v>
      </c>
      <c r="M6" s="14">
        <v>491.0</v>
      </c>
      <c r="N6" s="14">
        <v>1.0</v>
      </c>
      <c r="O6" s="15"/>
      <c r="P6" s="16">
        <v>39837.21393518519</v>
      </c>
      <c r="Q6" s="10" t="s">
        <v>1234</v>
      </c>
      <c r="R6" s="10" t="s">
        <v>1235</v>
      </c>
      <c r="S6" s="11"/>
      <c r="T6" s="11"/>
      <c r="U6" s="17" t="str">
        <f>HYPERLINK("https://pbs.twimg.com/profile_images/1342920204855242756/OxBFIJBJ.jpg","View")</f>
        <v>View</v>
      </c>
      <c r="V6" s="11"/>
      <c r="W6" s="11"/>
      <c r="X6" s="11"/>
      <c r="Y6" s="11"/>
      <c r="Z6" s="11"/>
    </row>
    <row r="7">
      <c r="A7" s="8">
        <v>44222.553518518514</v>
      </c>
      <c r="B7" s="9" t="str">
        <f>HYPERLINK("https://twitter.com/lorakahlo","@lorakahlo")</f>
        <v>@lorakahlo</v>
      </c>
      <c r="C7" s="10" t="s">
        <v>1236</v>
      </c>
      <c r="D7" s="10" t="s">
        <v>1237</v>
      </c>
      <c r="E7" s="9" t="str">
        <f>HYPERLINK("https://twitter.com/lorakahlo/status/1354176554788663302","1354176554788663302")</f>
        <v>1354176554788663302</v>
      </c>
      <c r="F7" s="12" t="s">
        <v>1238</v>
      </c>
      <c r="G7" s="12" t="s">
        <v>1239</v>
      </c>
      <c r="H7" s="11"/>
      <c r="I7" s="13">
        <v>0.0</v>
      </c>
      <c r="J7" s="13">
        <v>0.0</v>
      </c>
      <c r="K7" s="9" t="str">
        <f>HYPERLINK("http://twitter.com/download/iphone","Twitter for iPhone")</f>
        <v>Twitter for iPhone</v>
      </c>
      <c r="L7" s="14">
        <v>1380.0</v>
      </c>
      <c r="M7" s="14">
        <v>1425.0</v>
      </c>
      <c r="N7" s="14">
        <v>17.0</v>
      </c>
      <c r="O7" s="15"/>
      <c r="P7" s="16">
        <v>42385.27258101852</v>
      </c>
      <c r="Q7" s="10" t="s">
        <v>490</v>
      </c>
      <c r="R7" s="10" t="s">
        <v>1240</v>
      </c>
      <c r="S7" s="12" t="s">
        <v>1241</v>
      </c>
      <c r="T7" s="11"/>
      <c r="U7" s="17" t="str">
        <f>HYPERLINK("https://pbs.twimg.com/profile_images/1322901955048591362/yYN6eALI.jpg","View")</f>
        <v>View</v>
      </c>
      <c r="V7" s="11"/>
      <c r="W7" s="11"/>
      <c r="X7" s="11"/>
      <c r="Y7" s="11"/>
      <c r="Z7" s="11"/>
    </row>
    <row r="8">
      <c r="A8" s="8">
        <v>44222.55347222222</v>
      </c>
      <c r="B8" s="9" t="str">
        <f>HYPERLINK("https://twitter.com/RNDeporte","@RNDeporte")</f>
        <v>@RNDeporte</v>
      </c>
      <c r="C8" s="10" t="s">
        <v>1242</v>
      </c>
      <c r="D8" s="10" t="s">
        <v>1243</v>
      </c>
      <c r="E8" s="9" t="str">
        <f>HYPERLINK("https://twitter.com/RNDeporte/status/1354176536790921216","1354176536790921216")</f>
        <v>1354176536790921216</v>
      </c>
      <c r="F8" s="11"/>
      <c r="G8" s="12" t="s">
        <v>1244</v>
      </c>
      <c r="H8" s="11"/>
      <c r="I8" s="13">
        <v>0.0</v>
      </c>
      <c r="J8" s="13">
        <v>0.0</v>
      </c>
      <c r="K8" s="9" t="str">
        <f>HYPERLINK("https://mobile.twitter.com","Twitter Web App")</f>
        <v>Twitter Web App</v>
      </c>
      <c r="L8" s="14">
        <v>903.0</v>
      </c>
      <c r="M8" s="14">
        <v>233.0</v>
      </c>
      <c r="N8" s="14">
        <v>5.0</v>
      </c>
      <c r="O8" s="15"/>
      <c r="P8" s="16">
        <v>42725.222604166665</v>
      </c>
      <c r="Q8" s="10" t="s">
        <v>1245</v>
      </c>
      <c r="R8" s="10" t="s">
        <v>1246</v>
      </c>
      <c r="S8" s="12" t="s">
        <v>1247</v>
      </c>
      <c r="T8" s="11"/>
      <c r="U8" s="17" t="str">
        <f>HYPERLINK("https://pbs.twimg.com/profile_images/1329104088949252101/sRTDZj0_.jpg","View")</f>
        <v>View</v>
      </c>
      <c r="V8" s="11"/>
      <c r="W8" s="11"/>
      <c r="X8" s="11"/>
      <c r="Y8" s="11"/>
      <c r="Z8" s="11"/>
    </row>
    <row r="9">
      <c r="A9" s="8">
        <v>44222.5496412037</v>
      </c>
      <c r="B9" s="9" t="str">
        <f>HYPERLINK("https://twitter.com/theivid_","@theivid_")</f>
        <v>@theivid_</v>
      </c>
      <c r="C9" s="10" t="s">
        <v>1248</v>
      </c>
      <c r="D9" s="10" t="s">
        <v>1249</v>
      </c>
      <c r="E9" s="9" t="str">
        <f>HYPERLINK("https://twitter.com/theivid_/status/1354175149604536325","1354175149604536325")</f>
        <v>1354175149604536325</v>
      </c>
      <c r="F9" s="11"/>
      <c r="G9" s="11"/>
      <c r="H9" s="11"/>
      <c r="I9" s="13">
        <v>0.0</v>
      </c>
      <c r="J9" s="13">
        <v>0.0</v>
      </c>
      <c r="K9" s="9" t="str">
        <f t="shared" ref="K9:K10" si="2">HYPERLINK("http://twitter.com/download/iphone","Twitter for iPhone")</f>
        <v>Twitter for iPhone</v>
      </c>
      <c r="L9" s="14">
        <v>195.0</v>
      </c>
      <c r="M9" s="14">
        <v>201.0</v>
      </c>
      <c r="N9" s="14">
        <v>0.0</v>
      </c>
      <c r="O9" s="15"/>
      <c r="P9" s="16">
        <v>42323.27145833333</v>
      </c>
      <c r="Q9" s="10" t="s">
        <v>799</v>
      </c>
      <c r="R9" s="10" t="s">
        <v>1250</v>
      </c>
      <c r="S9" s="12" t="s">
        <v>1251</v>
      </c>
      <c r="T9" s="11"/>
      <c r="U9" s="17" t="str">
        <f>HYPERLINK("https://pbs.twimg.com/profile_images/1350778332812603392/hRTc_9Qp.jpg","View")</f>
        <v>View</v>
      </c>
      <c r="V9" s="11"/>
      <c r="W9" s="11"/>
      <c r="X9" s="11"/>
      <c r="Y9" s="11"/>
      <c r="Z9" s="11"/>
    </row>
    <row r="10">
      <c r="A10" s="8">
        <v>44222.548368055555</v>
      </c>
      <c r="B10" s="9" t="str">
        <f>HYPERLINK("https://twitter.com/Jimena41642103","@Jimena41642103")</f>
        <v>@Jimena41642103</v>
      </c>
      <c r="C10" s="10" t="s">
        <v>1252</v>
      </c>
      <c r="D10" s="10" t="s">
        <v>1253</v>
      </c>
      <c r="E10" s="9" t="str">
        <f>HYPERLINK("https://twitter.com/Jimena41642103/status/1354174687224459265","1354174687224459265")</f>
        <v>1354174687224459265</v>
      </c>
      <c r="F10" s="11"/>
      <c r="G10" s="11"/>
      <c r="H10" s="11"/>
      <c r="I10" s="13">
        <v>0.0</v>
      </c>
      <c r="J10" s="13">
        <v>1.0</v>
      </c>
      <c r="K10" s="9" t="str">
        <f t="shared" si="2"/>
        <v>Twitter for iPhone</v>
      </c>
      <c r="L10" s="14">
        <v>56.0</v>
      </c>
      <c r="M10" s="14">
        <v>94.0</v>
      </c>
      <c r="N10" s="14">
        <v>0.0</v>
      </c>
      <c r="O10" s="15"/>
      <c r="P10" s="16">
        <v>43990.026712962965</v>
      </c>
      <c r="Q10" s="10" t="s">
        <v>1254</v>
      </c>
      <c r="R10" s="10" t="s">
        <v>1255</v>
      </c>
      <c r="S10" s="11"/>
      <c r="T10" s="11"/>
      <c r="U10" s="17" t="str">
        <f>HYPERLINK("https://pbs.twimg.com/profile_images/1314517727168679936/EMdGPHbY.jpg","View")</f>
        <v>View</v>
      </c>
      <c r="V10" s="11"/>
      <c r="W10" s="11"/>
      <c r="X10" s="11"/>
      <c r="Y10" s="11"/>
      <c r="Z10" s="11"/>
    </row>
    <row r="11">
      <c r="A11" s="8">
        <v>44222.54834490741</v>
      </c>
      <c r="B11" s="9" t="str">
        <f>HYPERLINK("https://twitter.com/cerda_gabriel","@cerda_gabriel")</f>
        <v>@cerda_gabriel</v>
      </c>
      <c r="C11" s="10" t="s">
        <v>1256</v>
      </c>
      <c r="D11" s="10" t="s">
        <v>1257</v>
      </c>
      <c r="E11" s="9" t="str">
        <f>HYPERLINK("https://twitter.com/cerda_gabriel/status/1354174680668774400","1354174680668774400")</f>
        <v>1354174680668774400</v>
      </c>
      <c r="F11" s="12" t="s">
        <v>1258</v>
      </c>
      <c r="G11" s="11"/>
      <c r="H11" s="11"/>
      <c r="I11" s="13">
        <v>0.0</v>
      </c>
      <c r="J11" s="13">
        <v>0.0</v>
      </c>
      <c r="K11" s="9" t="str">
        <f t="shared" ref="K11:K12" si="3">HYPERLINK("http://twitter.com/download/android","Twitter for Android")</f>
        <v>Twitter for Android</v>
      </c>
      <c r="L11" s="14">
        <v>188.0</v>
      </c>
      <c r="M11" s="14">
        <v>550.0</v>
      </c>
      <c r="N11" s="14">
        <v>1.0</v>
      </c>
      <c r="O11" s="15"/>
      <c r="P11" s="16">
        <v>40705.245300925926</v>
      </c>
      <c r="Q11" s="10" t="s">
        <v>1139</v>
      </c>
      <c r="R11" s="10" t="s">
        <v>1259</v>
      </c>
      <c r="S11" s="11"/>
      <c r="T11" s="11"/>
      <c r="U11" s="17" t="str">
        <f>HYPERLINK("https://pbs.twimg.com/profile_images/2504516020/cbo3l7oyt6hbansjjedb.jpeg","View")</f>
        <v>View</v>
      </c>
      <c r="V11" s="11"/>
      <c r="W11" s="11"/>
      <c r="X11" s="11"/>
      <c r="Y11" s="11"/>
      <c r="Z11" s="11"/>
    </row>
    <row r="12">
      <c r="A12" s="8">
        <v>44222.54744212963</v>
      </c>
      <c r="B12" s="9" t="str">
        <f>HYPERLINK("https://twitter.com/shivkamaru","@shivkamaru")</f>
        <v>@shivkamaru</v>
      </c>
      <c r="C12" s="10" t="s">
        <v>1260</v>
      </c>
      <c r="D12" s="10" t="s">
        <v>1261</v>
      </c>
      <c r="E12" s="9" t="str">
        <f>HYPERLINK("https://twitter.com/shivkamaru/status/1354174353676488704","1354174353676488704")</f>
        <v>1354174353676488704</v>
      </c>
      <c r="F12" s="11"/>
      <c r="G12" s="11"/>
      <c r="H12" s="11"/>
      <c r="I12" s="13">
        <v>0.0</v>
      </c>
      <c r="J12" s="13">
        <v>3.0</v>
      </c>
      <c r="K12" s="9" t="str">
        <f t="shared" si="3"/>
        <v>Twitter for Android</v>
      </c>
      <c r="L12" s="14">
        <v>189.0</v>
      </c>
      <c r="M12" s="14">
        <v>177.0</v>
      </c>
      <c r="N12" s="14">
        <v>2.0</v>
      </c>
      <c r="O12" s="15"/>
      <c r="P12" s="16">
        <v>42835.40113425926</v>
      </c>
      <c r="Q12" s="10" t="s">
        <v>1262</v>
      </c>
      <c r="R12" s="10" t="s">
        <v>1263</v>
      </c>
      <c r="S12" s="12" t="s">
        <v>1264</v>
      </c>
      <c r="T12" s="11"/>
      <c r="U12" s="17" t="str">
        <f>HYPERLINK("https://pbs.twimg.com/profile_images/1352009857424109568/kEY9-OQF.jpg","View")</f>
        <v>View</v>
      </c>
      <c r="V12" s="11"/>
      <c r="W12" s="11"/>
      <c r="X12" s="11"/>
      <c r="Y12" s="11"/>
      <c r="Z12" s="11"/>
    </row>
    <row r="13">
      <c r="A13" s="8">
        <v>44222.546631944446</v>
      </c>
      <c r="B13" s="9" t="str">
        <f>HYPERLINK("https://twitter.com/Tele13_Radio","@Tele13_Radio")</f>
        <v>@Tele13_Radio</v>
      </c>
      <c r="C13" s="10" t="s">
        <v>1265</v>
      </c>
      <c r="D13" s="10" t="s">
        <v>1266</v>
      </c>
      <c r="E13" s="9" t="str">
        <f>HYPERLINK("https://twitter.com/Tele13_Radio/status/1354174058896781315","1354174058896781315")</f>
        <v>1354174058896781315</v>
      </c>
      <c r="F13" s="12" t="s">
        <v>1267</v>
      </c>
      <c r="G13" s="12" t="s">
        <v>1268</v>
      </c>
      <c r="H13" s="11"/>
      <c r="I13" s="13">
        <v>1.0</v>
      </c>
      <c r="J13" s="13">
        <v>1.0</v>
      </c>
      <c r="K13" s="9" t="str">
        <f>HYPERLINK("https://mobile.twitter.com","Twitter Web App")</f>
        <v>Twitter Web App</v>
      </c>
      <c r="L13" s="14">
        <v>139840.0</v>
      </c>
      <c r="M13" s="14">
        <v>8639.0</v>
      </c>
      <c r="N13" s="14">
        <v>498.0</v>
      </c>
      <c r="O13" s="19" t="s">
        <v>1225</v>
      </c>
      <c r="P13" s="16">
        <v>42093.521203703705</v>
      </c>
      <c r="Q13" s="10" t="s">
        <v>1269</v>
      </c>
      <c r="R13" s="10" t="s">
        <v>1270</v>
      </c>
      <c r="S13" s="12" t="s">
        <v>1271</v>
      </c>
      <c r="T13" s="11"/>
      <c r="U13" s="17" t="str">
        <f>HYPERLINK("https://pbs.twimg.com/profile_images/958838054080442373/VEPAgakx.jpg","View")</f>
        <v>View</v>
      </c>
      <c r="V13" s="11"/>
      <c r="W13" s="11"/>
      <c r="X13" s="11"/>
      <c r="Y13" s="11"/>
      <c r="Z13" s="11"/>
    </row>
    <row r="14">
      <c r="A14" s="8">
        <v>44222.54534722222</v>
      </c>
      <c r="B14" s="9" t="str">
        <f>HYPERLINK("https://twitter.com/cerda_gabriel","@cerda_gabriel")</f>
        <v>@cerda_gabriel</v>
      </c>
      <c r="C14" s="10" t="s">
        <v>1256</v>
      </c>
      <c r="D14" s="10" t="s">
        <v>1272</v>
      </c>
      <c r="E14" s="9" t="str">
        <f>HYPERLINK("https://twitter.com/cerda_gabriel/status/1354173594616672257","1354173594616672257")</f>
        <v>1354173594616672257</v>
      </c>
      <c r="F14" s="10" t="s">
        <v>1273</v>
      </c>
      <c r="G14" s="11"/>
      <c r="H14" s="11"/>
      <c r="I14" s="13">
        <v>0.0</v>
      </c>
      <c r="J14" s="13">
        <v>0.0</v>
      </c>
      <c r="K14" s="9" t="str">
        <f t="shared" ref="K14:K19" si="4">HYPERLINK("http://twitter.com/download/android","Twitter for Android")</f>
        <v>Twitter for Android</v>
      </c>
      <c r="L14" s="14">
        <v>188.0</v>
      </c>
      <c r="M14" s="14">
        <v>550.0</v>
      </c>
      <c r="N14" s="14">
        <v>1.0</v>
      </c>
      <c r="O14" s="15"/>
      <c r="P14" s="16">
        <v>40705.245300925926</v>
      </c>
      <c r="Q14" s="10" t="s">
        <v>1139</v>
      </c>
      <c r="R14" s="10" t="s">
        <v>1259</v>
      </c>
      <c r="S14" s="11"/>
      <c r="T14" s="11"/>
      <c r="U14" s="17" t="str">
        <f>HYPERLINK("https://pbs.twimg.com/profile_images/2504516020/cbo3l7oyt6hbansjjedb.jpeg","View")</f>
        <v>View</v>
      </c>
      <c r="V14" s="11"/>
      <c r="W14" s="11"/>
      <c r="X14" s="11"/>
      <c r="Y14" s="11"/>
      <c r="Z14" s="11"/>
    </row>
    <row r="15">
      <c r="A15" s="8">
        <v>44222.54445601851</v>
      </c>
      <c r="B15" s="9" t="str">
        <f>HYPERLINK("https://twitter.com/paulaporfav0r","@paulaporfav0r")</f>
        <v>@paulaporfav0r</v>
      </c>
      <c r="C15" s="10" t="s">
        <v>1274</v>
      </c>
      <c r="D15" s="10" t="s">
        <v>1275</v>
      </c>
      <c r="E15" s="9" t="str">
        <f>HYPERLINK("https://twitter.com/paulaporfav0r/status/1354173267716825091","1354173267716825091")</f>
        <v>1354173267716825091</v>
      </c>
      <c r="F15" s="11"/>
      <c r="G15" s="11"/>
      <c r="H15" s="11"/>
      <c r="I15" s="13">
        <v>0.0</v>
      </c>
      <c r="J15" s="13">
        <v>2.0</v>
      </c>
      <c r="K15" s="9" t="str">
        <f t="shared" si="4"/>
        <v>Twitter for Android</v>
      </c>
      <c r="L15" s="14">
        <v>118.0</v>
      </c>
      <c r="M15" s="14">
        <v>177.0</v>
      </c>
      <c r="N15" s="14">
        <v>1.0</v>
      </c>
      <c r="O15" s="15"/>
      <c r="P15" s="16">
        <v>43647.50938657408</v>
      </c>
      <c r="Q15" s="11"/>
      <c r="R15" s="10" t="s">
        <v>1276</v>
      </c>
      <c r="S15" s="11"/>
      <c r="T15" s="11"/>
      <c r="U15" s="17" t="str">
        <f>HYPERLINK("https://pbs.twimg.com/profile_images/1348223982177316864/Z-bLYNAG.jpg","View")</f>
        <v>View</v>
      </c>
      <c r="V15" s="11"/>
      <c r="W15" s="11"/>
      <c r="X15" s="11"/>
      <c r="Y15" s="11"/>
      <c r="Z15" s="11"/>
    </row>
    <row r="16">
      <c r="A16" s="8">
        <v>44222.54405092592</v>
      </c>
      <c r="B16" s="9" t="str">
        <f>HYPERLINK("https://twitter.com/cerda_gabriel","@cerda_gabriel")</f>
        <v>@cerda_gabriel</v>
      </c>
      <c r="C16" s="10" t="s">
        <v>1256</v>
      </c>
      <c r="D16" s="10" t="s">
        <v>1277</v>
      </c>
      <c r="E16" s="9" t="str">
        <f>HYPERLINK("https://twitter.com/cerda_gabriel/status/1354173124556808193","1354173124556808193")</f>
        <v>1354173124556808193</v>
      </c>
      <c r="F16" s="10" t="s">
        <v>1278</v>
      </c>
      <c r="G16" s="11"/>
      <c r="H16" s="11"/>
      <c r="I16" s="13">
        <v>0.0</v>
      </c>
      <c r="J16" s="13">
        <v>0.0</v>
      </c>
      <c r="K16" s="9" t="str">
        <f t="shared" si="4"/>
        <v>Twitter for Android</v>
      </c>
      <c r="L16" s="14">
        <v>188.0</v>
      </c>
      <c r="M16" s="14">
        <v>550.0</v>
      </c>
      <c r="N16" s="14">
        <v>1.0</v>
      </c>
      <c r="O16" s="15"/>
      <c r="P16" s="16">
        <v>40705.245300925926</v>
      </c>
      <c r="Q16" s="10" t="s">
        <v>1139</v>
      </c>
      <c r="R16" s="10" t="s">
        <v>1259</v>
      </c>
      <c r="S16" s="11"/>
      <c r="T16" s="11"/>
      <c r="U16" s="17" t="str">
        <f>HYPERLINK("https://pbs.twimg.com/profile_images/2504516020/cbo3l7oyt6hbansjjedb.jpeg","View")</f>
        <v>View</v>
      </c>
      <c r="V16" s="11"/>
      <c r="W16" s="11"/>
      <c r="X16" s="11"/>
      <c r="Y16" s="11"/>
      <c r="Z16" s="11"/>
    </row>
    <row r="17">
      <c r="A17" s="8">
        <v>44222.54350694444</v>
      </c>
      <c r="B17" s="9" t="str">
        <f>HYPERLINK("https://twitter.com/DPE9327","@DPE9327")</f>
        <v>@DPE9327</v>
      </c>
      <c r="C17" s="10" t="s">
        <v>1279</v>
      </c>
      <c r="D17" s="10" t="s">
        <v>1280</v>
      </c>
      <c r="E17" s="9" t="str">
        <f>HYPERLINK("https://twitter.com/DPE9327/status/1354172927625883649","1354172927625883649")</f>
        <v>1354172927625883649</v>
      </c>
      <c r="F17" s="11"/>
      <c r="G17" s="11"/>
      <c r="H17" s="11"/>
      <c r="I17" s="13">
        <v>0.0</v>
      </c>
      <c r="J17" s="13">
        <v>3.0</v>
      </c>
      <c r="K17" s="9" t="str">
        <f t="shared" si="4"/>
        <v>Twitter for Android</v>
      </c>
      <c r="L17" s="14">
        <v>2815.0</v>
      </c>
      <c r="M17" s="14">
        <v>489.0</v>
      </c>
      <c r="N17" s="14">
        <v>7.0</v>
      </c>
      <c r="O17" s="15"/>
      <c r="P17" s="16">
        <v>41947.475902777776</v>
      </c>
      <c r="Q17" s="10" t="s">
        <v>1281</v>
      </c>
      <c r="R17" s="11"/>
      <c r="S17" s="12" t="s">
        <v>1282</v>
      </c>
      <c r="T17" s="11"/>
      <c r="U17" s="17" t="str">
        <f>HYPERLINK("https://pbs.twimg.com/profile_images/1352086349013245955/3BljmPfQ.jpg","View")</f>
        <v>View</v>
      </c>
      <c r="V17" s="11"/>
      <c r="W17" s="11"/>
      <c r="X17" s="11"/>
      <c r="Y17" s="11"/>
      <c r="Z17" s="11"/>
    </row>
    <row r="18">
      <c r="A18" s="8">
        <v>44222.54252314815</v>
      </c>
      <c r="B18" s="9" t="str">
        <f>HYPERLINK("https://twitter.com/lumago__","@lumago__")</f>
        <v>@lumago__</v>
      </c>
      <c r="C18" s="10" t="s">
        <v>1283</v>
      </c>
      <c r="D18" s="10" t="s">
        <v>1284</v>
      </c>
      <c r="E18" s="9" t="str">
        <f>HYPERLINK("https://twitter.com/lumago__/status/1354172569579118592","1354172569579118592")</f>
        <v>1354172569579118592</v>
      </c>
      <c r="F18" s="11"/>
      <c r="G18" s="12" t="s">
        <v>1285</v>
      </c>
      <c r="H18" s="11"/>
      <c r="I18" s="13">
        <v>0.0</v>
      </c>
      <c r="J18" s="13">
        <v>3.0</v>
      </c>
      <c r="K18" s="9" t="str">
        <f t="shared" si="4"/>
        <v>Twitter for Android</v>
      </c>
      <c r="L18" s="14">
        <v>296.0</v>
      </c>
      <c r="M18" s="14">
        <v>215.0</v>
      </c>
      <c r="N18" s="14">
        <v>0.0</v>
      </c>
      <c r="O18" s="15"/>
      <c r="P18" s="16">
        <v>43340.32870370371</v>
      </c>
      <c r="Q18" s="10" t="s">
        <v>1286</v>
      </c>
      <c r="R18" s="10" t="s">
        <v>1287</v>
      </c>
      <c r="S18" s="11"/>
      <c r="T18" s="11"/>
      <c r="U18" s="17" t="str">
        <f>HYPERLINK("https://pbs.twimg.com/profile_images/1336459284821979137/FodQdGcP.jpg","View")</f>
        <v>View</v>
      </c>
      <c r="V18" s="11"/>
      <c r="W18" s="11"/>
      <c r="X18" s="11"/>
      <c r="Y18" s="11"/>
      <c r="Z18" s="11"/>
    </row>
    <row r="19">
      <c r="A19" s="8">
        <v>44222.54028935185</v>
      </c>
      <c r="B19" s="9" t="str">
        <f>HYPERLINK("https://twitter.com/GemitaCarpetera","@GemitaCarpetera")</f>
        <v>@GemitaCarpetera</v>
      </c>
      <c r="C19" s="10" t="s">
        <v>1288</v>
      </c>
      <c r="D19" s="10" t="s">
        <v>1289</v>
      </c>
      <c r="E19" s="9" t="str">
        <f>HYPERLINK("https://twitter.com/GemitaCarpetera/status/1354171759453462528","1354171759453462528")</f>
        <v>1354171759453462528</v>
      </c>
      <c r="F19" s="12" t="s">
        <v>1290</v>
      </c>
      <c r="G19" s="11"/>
      <c r="H19" s="11"/>
      <c r="I19" s="13">
        <v>1.0</v>
      </c>
      <c r="J19" s="13">
        <v>0.0</v>
      </c>
      <c r="K19" s="9" t="str">
        <f t="shared" si="4"/>
        <v>Twitter for Android</v>
      </c>
      <c r="L19" s="14">
        <v>600.0</v>
      </c>
      <c r="M19" s="14">
        <v>37.0</v>
      </c>
      <c r="N19" s="14">
        <v>1.0</v>
      </c>
      <c r="O19" s="15"/>
      <c r="P19" s="16">
        <v>43357.64056712963</v>
      </c>
      <c r="Q19" s="11"/>
      <c r="R19" s="10" t="s">
        <v>1291</v>
      </c>
      <c r="S19" s="11"/>
      <c r="T19" s="11"/>
      <c r="U19" s="17" t="str">
        <f>HYPERLINK("https://pbs.twimg.com/profile_images/1294713986013892609/JvmGkkzr.jpg","View")</f>
        <v>View</v>
      </c>
      <c r="V19" s="11"/>
      <c r="W19" s="11"/>
      <c r="X19" s="11"/>
      <c r="Y19" s="11"/>
      <c r="Z19" s="11"/>
    </row>
    <row r="20">
      <c r="A20" s="8">
        <v>44222.53984953703</v>
      </c>
      <c r="B20" s="9" t="str">
        <f>HYPERLINK("https://twitter.com/jcancinoguarda","@jcancinoguarda")</f>
        <v>@jcancinoguarda</v>
      </c>
      <c r="C20" s="10" t="s">
        <v>1292</v>
      </c>
      <c r="D20" s="10" t="s">
        <v>1293</v>
      </c>
      <c r="E20" s="9" t="str">
        <f>HYPERLINK("https://twitter.com/jcancinoguarda/status/1354171600971702274","1354171600971702274")</f>
        <v>1354171600971702274</v>
      </c>
      <c r="F20" s="12" t="s">
        <v>1294</v>
      </c>
      <c r="G20" s="11"/>
      <c r="H20" s="11"/>
      <c r="I20" s="13">
        <v>0.0</v>
      </c>
      <c r="J20" s="13">
        <v>0.0</v>
      </c>
      <c r="K20" s="9" t="str">
        <f t="shared" ref="K20:K22" si="5">HYPERLINK("https://mobile.twitter.com","Twitter Web App")</f>
        <v>Twitter Web App</v>
      </c>
      <c r="L20" s="14">
        <v>1077.0</v>
      </c>
      <c r="M20" s="14">
        <v>680.0</v>
      </c>
      <c r="N20" s="14">
        <v>8.0</v>
      </c>
      <c r="O20" s="15"/>
      <c r="P20" s="16">
        <v>40500.621840277774</v>
      </c>
      <c r="Q20" s="11"/>
      <c r="R20" s="10" t="s">
        <v>1295</v>
      </c>
      <c r="S20" s="11"/>
      <c r="T20" s="11"/>
      <c r="U20" s="17" t="str">
        <f>HYPERLINK("https://pbs.twimg.com/profile_images/633797314860216320/5woo4fyN.png","View")</f>
        <v>View</v>
      </c>
      <c r="V20" s="11"/>
      <c r="W20" s="11"/>
      <c r="X20" s="11"/>
      <c r="Y20" s="11"/>
      <c r="Z20" s="11"/>
    </row>
    <row r="21">
      <c r="A21" s="8">
        <v>44222.539305555554</v>
      </c>
      <c r="B21" s="9" t="str">
        <f>HYPERLINK("https://twitter.com/M4D3R0","@M4D3R0")</f>
        <v>@M4D3R0</v>
      </c>
      <c r="C21" s="10" t="s">
        <v>1296</v>
      </c>
      <c r="D21" s="10" t="s">
        <v>1297</v>
      </c>
      <c r="E21" s="9" t="str">
        <f>HYPERLINK("https://twitter.com/M4D3R0/status/1354171402467778560","1354171402467778560")</f>
        <v>1354171402467778560</v>
      </c>
      <c r="F21" s="10" t="s">
        <v>1298</v>
      </c>
      <c r="G21" s="11"/>
      <c r="H21" s="11"/>
      <c r="I21" s="13">
        <v>0.0</v>
      </c>
      <c r="J21" s="13">
        <v>0.0</v>
      </c>
      <c r="K21" s="9" t="str">
        <f t="shared" si="5"/>
        <v>Twitter Web App</v>
      </c>
      <c r="L21" s="14">
        <v>181.0</v>
      </c>
      <c r="M21" s="14">
        <v>161.0</v>
      </c>
      <c r="N21" s="14">
        <v>1.0</v>
      </c>
      <c r="O21" s="15"/>
      <c r="P21" s="16">
        <v>41587.57297453703</v>
      </c>
      <c r="Q21" s="10" t="s">
        <v>1092</v>
      </c>
      <c r="R21" s="10" t="s">
        <v>1299</v>
      </c>
      <c r="S21" s="11"/>
      <c r="T21" s="11"/>
      <c r="U21" s="17" t="str">
        <f>HYPERLINK("https://pbs.twimg.com/profile_images/1331732443964067840/uecnAXO9.jpg","View")</f>
        <v>View</v>
      </c>
      <c r="V21" s="11"/>
      <c r="W21" s="11"/>
      <c r="X21" s="11"/>
      <c r="Y21" s="11"/>
      <c r="Z21" s="11"/>
    </row>
    <row r="22">
      <c r="A22" s="8">
        <v>44222.539131944446</v>
      </c>
      <c r="B22" s="9" t="str">
        <f>HYPERLINK("https://twitter.com/cvalenzuelae","@cvalenzuelae")</f>
        <v>@cvalenzuelae</v>
      </c>
      <c r="C22" s="10" t="s">
        <v>1300</v>
      </c>
      <c r="D22" s="10" t="s">
        <v>1301</v>
      </c>
      <c r="E22" s="9" t="str">
        <f>HYPERLINK("https://twitter.com/cvalenzuelae/status/1354171338731229185","1354171338731229185")</f>
        <v>1354171338731229185</v>
      </c>
      <c r="F22" s="11"/>
      <c r="G22" s="12" t="s">
        <v>1302</v>
      </c>
      <c r="H22" s="11"/>
      <c r="I22" s="13">
        <v>0.0</v>
      </c>
      <c r="J22" s="13">
        <v>0.0</v>
      </c>
      <c r="K22" s="9" t="str">
        <f t="shared" si="5"/>
        <v>Twitter Web App</v>
      </c>
      <c r="L22" s="14">
        <v>1794.0</v>
      </c>
      <c r="M22" s="14">
        <v>1500.0</v>
      </c>
      <c r="N22" s="14">
        <v>18.0</v>
      </c>
      <c r="O22" s="15"/>
      <c r="P22" s="16">
        <v>40366.57935185185</v>
      </c>
      <c r="Q22" s="10" t="s">
        <v>1303</v>
      </c>
      <c r="R22" s="10" t="s">
        <v>1304</v>
      </c>
      <c r="S22" s="12" t="s">
        <v>1305</v>
      </c>
      <c r="T22" s="11"/>
      <c r="U22" s="17" t="str">
        <f>HYPERLINK("https://pbs.twimg.com/profile_images/1049441587070193666/IMOlG8hv.jpg","View")</f>
        <v>View</v>
      </c>
      <c r="V22" s="11"/>
      <c r="W22" s="11"/>
      <c r="X22" s="11"/>
      <c r="Y22" s="11"/>
      <c r="Z22" s="11"/>
    </row>
    <row r="23">
      <c r="A23" s="8">
        <v>44222.538194444445</v>
      </c>
      <c r="B23" s="9" t="str">
        <f>HYPERLINK("https://twitter.com/Tele13_Radio","@Tele13_Radio")</f>
        <v>@Tele13_Radio</v>
      </c>
      <c r="C23" s="10" t="s">
        <v>1265</v>
      </c>
      <c r="D23" s="10" t="s">
        <v>1306</v>
      </c>
      <c r="E23" s="9" t="str">
        <f>HYPERLINK("https://twitter.com/Tele13_Radio/status/1354170999546253312","1354170999546253312")</f>
        <v>1354170999546253312</v>
      </c>
      <c r="F23" s="12" t="s">
        <v>1307</v>
      </c>
      <c r="G23" s="12" t="s">
        <v>1308</v>
      </c>
      <c r="H23" s="11"/>
      <c r="I23" s="13">
        <v>0.0</v>
      </c>
      <c r="J23" s="13">
        <v>0.0</v>
      </c>
      <c r="K23" s="9" t="str">
        <f>HYPERLINK("https://studio.twitter.com","Twitter Media Studio")</f>
        <v>Twitter Media Studio</v>
      </c>
      <c r="L23" s="14">
        <v>139840.0</v>
      </c>
      <c r="M23" s="14">
        <v>8639.0</v>
      </c>
      <c r="N23" s="14">
        <v>498.0</v>
      </c>
      <c r="O23" s="19" t="s">
        <v>1225</v>
      </c>
      <c r="P23" s="16">
        <v>42093.521203703705</v>
      </c>
      <c r="Q23" s="10" t="s">
        <v>1269</v>
      </c>
      <c r="R23" s="10" t="s">
        <v>1270</v>
      </c>
      <c r="S23" s="12" t="s">
        <v>1271</v>
      </c>
      <c r="T23" s="11"/>
      <c r="U23" s="17" t="str">
        <f>HYPERLINK("https://pbs.twimg.com/profile_images/958838054080442373/VEPAgakx.jpg","View")</f>
        <v>View</v>
      </c>
      <c r="V23" s="11"/>
      <c r="W23" s="11"/>
      <c r="X23" s="11"/>
      <c r="Y23" s="11"/>
      <c r="Z23" s="11"/>
    </row>
    <row r="24">
      <c r="A24" s="8">
        <v>44222.53613425926</v>
      </c>
      <c r="B24" s="9" t="str">
        <f>HYPERLINK("https://twitter.com/AyeAmarillo","@AyeAmarillo")</f>
        <v>@AyeAmarillo</v>
      </c>
      <c r="C24" s="10" t="s">
        <v>1309</v>
      </c>
      <c r="D24" s="10" t="s">
        <v>1310</v>
      </c>
      <c r="E24" s="9" t="str">
        <f>HYPERLINK("https://twitter.com/AyeAmarillo/status/1354170255438917632","1354170255438917632")</f>
        <v>1354170255438917632</v>
      </c>
      <c r="F24" s="11"/>
      <c r="G24" s="11"/>
      <c r="H24" s="11"/>
      <c r="I24" s="13">
        <v>0.0</v>
      </c>
      <c r="J24" s="13">
        <v>0.0</v>
      </c>
      <c r="K24" s="9" t="str">
        <f t="shared" ref="K24:K25" si="6">HYPERLINK("http://twitter.com/download/android","Twitter for Android")</f>
        <v>Twitter for Android</v>
      </c>
      <c r="L24" s="14">
        <v>257.0</v>
      </c>
      <c r="M24" s="14">
        <v>286.0</v>
      </c>
      <c r="N24" s="14">
        <v>0.0</v>
      </c>
      <c r="O24" s="15"/>
      <c r="P24" s="16">
        <v>41562.70523148148</v>
      </c>
      <c r="Q24" s="10" t="s">
        <v>1311</v>
      </c>
      <c r="R24" s="10" t="s">
        <v>1312</v>
      </c>
      <c r="S24" s="11"/>
      <c r="T24" s="11"/>
      <c r="U24" s="17" t="str">
        <f>HYPERLINK("https://pbs.twimg.com/profile_images/1345697069797953551/lwI5j1Po.jpg","View")</f>
        <v>View</v>
      </c>
      <c r="V24" s="11"/>
      <c r="W24" s="11"/>
      <c r="X24" s="11"/>
      <c r="Y24" s="11"/>
      <c r="Z24" s="11"/>
    </row>
    <row r="25">
      <c r="A25" s="8">
        <v>44222.535949074074</v>
      </c>
      <c r="B25" s="9" t="str">
        <f>HYPERLINK("https://twitter.com/Frxncs21","@Frxncs21")</f>
        <v>@Frxncs21</v>
      </c>
      <c r="C25" s="10" t="s">
        <v>1313</v>
      </c>
      <c r="D25" s="10" t="s">
        <v>1314</v>
      </c>
      <c r="E25" s="9" t="str">
        <f>HYPERLINK("https://twitter.com/Frxncs21/status/1354170188988604416","1354170188988604416")</f>
        <v>1354170188988604416</v>
      </c>
      <c r="F25" s="11"/>
      <c r="G25" s="11"/>
      <c r="H25" s="11"/>
      <c r="I25" s="13">
        <v>0.0</v>
      </c>
      <c r="J25" s="13">
        <v>0.0</v>
      </c>
      <c r="K25" s="9" t="str">
        <f t="shared" si="6"/>
        <v>Twitter for Android</v>
      </c>
      <c r="L25" s="14">
        <v>420.0</v>
      </c>
      <c r="M25" s="14">
        <v>532.0</v>
      </c>
      <c r="N25" s="14">
        <v>4.0</v>
      </c>
      <c r="O25" s="15"/>
      <c r="P25" s="16">
        <v>40942.33243055556</v>
      </c>
      <c r="Q25" s="10" t="s">
        <v>1315</v>
      </c>
      <c r="R25" s="10" t="s">
        <v>1316</v>
      </c>
      <c r="S25" s="12" t="s">
        <v>1317</v>
      </c>
      <c r="T25" s="11"/>
      <c r="U25" s="17" t="str">
        <f>HYPERLINK("https://pbs.twimg.com/profile_images/1295356019149811712/Xq2zkzp1.jpg","View")</f>
        <v>View</v>
      </c>
      <c r="V25" s="11"/>
      <c r="W25" s="11"/>
      <c r="X25" s="11"/>
      <c r="Y25" s="11"/>
      <c r="Z25" s="11"/>
    </row>
    <row r="26">
      <c r="A26" s="8">
        <v>44222.53435185185</v>
      </c>
      <c r="B26" s="9" t="str">
        <f>HYPERLINK("https://twitter.com/hyunwoojintbell","@hyunwoojintbell")</f>
        <v>@hyunwoojintbell</v>
      </c>
      <c r="C26" s="10" t="s">
        <v>1318</v>
      </c>
      <c r="D26" s="10" t="s">
        <v>1319</v>
      </c>
      <c r="E26" s="9" t="str">
        <f>HYPERLINK("https://twitter.com/hyunwoojintbell/status/1354169607456763905","1354169607456763905")</f>
        <v>1354169607456763905</v>
      </c>
      <c r="F26" s="11"/>
      <c r="G26" s="12" t="s">
        <v>1320</v>
      </c>
      <c r="H26" s="11"/>
      <c r="I26" s="13">
        <v>0.0</v>
      </c>
      <c r="J26" s="13">
        <v>2.0</v>
      </c>
      <c r="K26" s="9" t="str">
        <f>HYPERLINK("http://twitter.com/download/iphone","Twitter for iPhone")</f>
        <v>Twitter for iPhone</v>
      </c>
      <c r="L26" s="14">
        <v>176.0</v>
      </c>
      <c r="M26" s="14">
        <v>193.0</v>
      </c>
      <c r="N26" s="14">
        <v>15.0</v>
      </c>
      <c r="O26" s="15"/>
      <c r="P26" s="16">
        <v>43997.769479166665</v>
      </c>
      <c r="Q26" s="10" t="s">
        <v>1321</v>
      </c>
      <c r="R26" s="10" t="s">
        <v>1322</v>
      </c>
      <c r="S26" s="12" t="s">
        <v>1323</v>
      </c>
      <c r="T26" s="11"/>
      <c r="U26" s="17" t="str">
        <f>HYPERLINK("https://pbs.twimg.com/profile_images/1354084576012988420/TAIh35Zp.jpg","View")</f>
        <v>View</v>
      </c>
      <c r="V26" s="11"/>
      <c r="W26" s="11"/>
      <c r="X26" s="11"/>
      <c r="Y26" s="11"/>
      <c r="Z26" s="11"/>
    </row>
    <row r="27">
      <c r="A27" s="8">
        <v>44222.53384259259</v>
      </c>
      <c r="B27" s="9" t="str">
        <f>HYPERLINK("https://twitter.com/derechouc","@derechouc")</f>
        <v>@derechouc</v>
      </c>
      <c r="C27" s="10" t="s">
        <v>1324</v>
      </c>
      <c r="D27" s="10" t="s">
        <v>1325</v>
      </c>
      <c r="E27" s="9" t="str">
        <f>HYPERLINK("https://twitter.com/derechouc/status/1354169421665861632","1354169421665861632")</f>
        <v>1354169421665861632</v>
      </c>
      <c r="F27" s="12" t="s">
        <v>1326</v>
      </c>
      <c r="G27" s="12" t="s">
        <v>1327</v>
      </c>
      <c r="H27" s="11"/>
      <c r="I27" s="13">
        <v>1.0</v>
      </c>
      <c r="J27" s="13">
        <v>4.0</v>
      </c>
      <c r="K27" s="9" t="str">
        <f>HYPERLINK("https://about.twitter.com/products/tweetdeck","TweetDeck")</f>
        <v>TweetDeck</v>
      </c>
      <c r="L27" s="14">
        <v>13517.0</v>
      </c>
      <c r="M27" s="14">
        <v>929.0</v>
      </c>
      <c r="N27" s="14">
        <v>99.0</v>
      </c>
      <c r="O27" s="15"/>
      <c r="P27" s="16">
        <v>39964.92733796296</v>
      </c>
      <c r="Q27" s="10" t="s">
        <v>1226</v>
      </c>
      <c r="R27" s="10" t="s">
        <v>1328</v>
      </c>
      <c r="S27" s="12" t="s">
        <v>1329</v>
      </c>
      <c r="T27" s="11"/>
      <c r="U27" s="17" t="str">
        <f>HYPERLINK("https://pbs.twimg.com/profile_images/446032888593522688/irxHrHOn.jpeg","View")</f>
        <v>View</v>
      </c>
      <c r="V27" s="11"/>
      <c r="W27" s="11"/>
      <c r="X27" s="11"/>
      <c r="Y27" s="11"/>
      <c r="Z27" s="11"/>
    </row>
    <row r="28">
      <c r="A28" s="8">
        <v>44222.532118055555</v>
      </c>
      <c r="B28" s="9" t="str">
        <f>HYPERLINK("https://twitter.com/victoriatoroo_","@victoriatoroo_")</f>
        <v>@victoriatoroo_</v>
      </c>
      <c r="C28" s="10" t="s">
        <v>1330</v>
      </c>
      <c r="D28" s="10" t="s">
        <v>1331</v>
      </c>
      <c r="E28" s="9" t="str">
        <f>HYPERLINK("https://twitter.com/victoriatoroo_/status/1354168798325198848","1354168798325198848")</f>
        <v>1354168798325198848</v>
      </c>
      <c r="F28" s="11"/>
      <c r="G28" s="11"/>
      <c r="H28" s="11"/>
      <c r="I28" s="13">
        <v>0.0</v>
      </c>
      <c r="J28" s="13">
        <v>1.0</v>
      </c>
      <c r="K28" s="9" t="str">
        <f>HYPERLINK("http://twitter.com/download/iphone","Twitter for iPhone")</f>
        <v>Twitter for iPhone</v>
      </c>
      <c r="L28" s="14">
        <v>429.0</v>
      </c>
      <c r="M28" s="14">
        <v>332.0</v>
      </c>
      <c r="N28" s="14">
        <v>0.0</v>
      </c>
      <c r="O28" s="15"/>
      <c r="P28" s="16">
        <v>43834.38011574074</v>
      </c>
      <c r="Q28" s="10" t="s">
        <v>1332</v>
      </c>
      <c r="R28" s="10" t="s">
        <v>1333</v>
      </c>
      <c r="S28" s="11"/>
      <c r="T28" s="11"/>
      <c r="U28" s="17" t="str">
        <f>HYPERLINK("https://pbs.twimg.com/profile_images/1297924910560563201/zGuDlwr3.jpg","View")</f>
        <v>View</v>
      </c>
      <c r="V28" s="11"/>
      <c r="W28" s="11"/>
      <c r="X28" s="11"/>
      <c r="Y28" s="11"/>
      <c r="Z28" s="11"/>
    </row>
    <row r="29">
      <c r="A29" s="8">
        <v>44222.532048611116</v>
      </c>
      <c r="B29" s="9" t="str">
        <f>HYPERLINK("https://twitter.com/PabloEchenique","@PabloEchenique")</f>
        <v>@PabloEchenique</v>
      </c>
      <c r="C29" s="10" t="s">
        <v>1334</v>
      </c>
      <c r="D29" s="10" t="s">
        <v>1335</v>
      </c>
      <c r="E29" s="9" t="str">
        <f>HYPERLINK("https://twitter.com/PabloEchenique/status/1354168774442815494","1354168774442815494")</f>
        <v>1354168774442815494</v>
      </c>
      <c r="F29" s="11"/>
      <c r="G29" s="12" t="s">
        <v>1336</v>
      </c>
      <c r="H29" s="11"/>
      <c r="I29" s="13">
        <v>64.0</v>
      </c>
      <c r="J29" s="13">
        <v>107.0</v>
      </c>
      <c r="K29" s="9" t="str">
        <f>HYPERLINK("https://mobile.twitter.com","Twitter Web App")</f>
        <v>Twitter Web App</v>
      </c>
      <c r="L29" s="14">
        <v>575305.0</v>
      </c>
      <c r="M29" s="14">
        <v>2251.0</v>
      </c>
      <c r="N29" s="14">
        <v>2845.0</v>
      </c>
      <c r="O29" s="19" t="s">
        <v>1225</v>
      </c>
      <c r="P29" s="16">
        <v>39892.503287037034</v>
      </c>
      <c r="Q29" s="10" t="s">
        <v>515</v>
      </c>
      <c r="R29" s="10" t="s">
        <v>1337</v>
      </c>
      <c r="S29" s="12" t="s">
        <v>1338</v>
      </c>
      <c r="T29" s="11"/>
      <c r="U29" s="17" t="str">
        <f>HYPERLINK("https://pbs.twimg.com/profile_images/1289903990440943616/VsKfrrCo.png","View")</f>
        <v>View</v>
      </c>
      <c r="V29" s="11"/>
      <c r="W29" s="11"/>
      <c r="X29" s="11"/>
      <c r="Y29" s="11"/>
      <c r="Z29" s="11"/>
    </row>
    <row r="30">
      <c r="A30" s="8">
        <v>44222.53125</v>
      </c>
      <c r="B30" s="9" t="str">
        <f>HYPERLINK("https://twitter.com/Tele13_Radio","@Tele13_Radio")</f>
        <v>@Tele13_Radio</v>
      </c>
      <c r="C30" s="10" t="s">
        <v>1265</v>
      </c>
      <c r="D30" s="10" t="s">
        <v>1339</v>
      </c>
      <c r="E30" s="9" t="str">
        <f>HYPERLINK("https://twitter.com/Tele13_Radio/status/1354168482921902081","1354168482921902081")</f>
        <v>1354168482921902081</v>
      </c>
      <c r="F30" s="12" t="s">
        <v>1307</v>
      </c>
      <c r="G30" s="12" t="s">
        <v>1340</v>
      </c>
      <c r="H30" s="11"/>
      <c r="I30" s="13">
        <v>0.0</v>
      </c>
      <c r="J30" s="13">
        <v>0.0</v>
      </c>
      <c r="K30" s="9" t="str">
        <f>HYPERLINK("https://studio.twitter.com","Twitter Media Studio")</f>
        <v>Twitter Media Studio</v>
      </c>
      <c r="L30" s="14">
        <v>139840.0</v>
      </c>
      <c r="M30" s="14">
        <v>8639.0</v>
      </c>
      <c r="N30" s="14">
        <v>498.0</v>
      </c>
      <c r="O30" s="19" t="s">
        <v>1225</v>
      </c>
      <c r="P30" s="16">
        <v>42093.521203703705</v>
      </c>
      <c r="Q30" s="10" t="s">
        <v>1269</v>
      </c>
      <c r="R30" s="10" t="s">
        <v>1270</v>
      </c>
      <c r="S30" s="12" t="s">
        <v>1271</v>
      </c>
      <c r="T30" s="11"/>
      <c r="U30" s="17" t="str">
        <f>HYPERLINK("https://pbs.twimg.com/profile_images/958838054080442373/VEPAgakx.jpg","View")</f>
        <v>View</v>
      </c>
      <c r="V30" s="11"/>
      <c r="W30" s="11"/>
      <c r="X30" s="11"/>
      <c r="Y30" s="11"/>
      <c r="Z30" s="11"/>
    </row>
    <row r="31">
      <c r="A31" s="8">
        <v>44222.52703703704</v>
      </c>
      <c r="B31" s="9" t="str">
        <f>HYPERLINK("https://twitter.com/OkupasOut","@OkupasOut")</f>
        <v>@OkupasOut</v>
      </c>
      <c r="C31" s="10" t="s">
        <v>1341</v>
      </c>
      <c r="D31" s="10" t="s">
        <v>1342</v>
      </c>
      <c r="E31" s="9" t="str">
        <f>HYPERLINK("https://twitter.com/OkupasOut/status/1354166958363697153","1354166958363697153")</f>
        <v>1354166958363697153</v>
      </c>
      <c r="F31" s="11"/>
      <c r="G31" s="12" t="s">
        <v>1343</v>
      </c>
      <c r="H31" s="11"/>
      <c r="I31" s="13">
        <v>2.0</v>
      </c>
      <c r="J31" s="13">
        <v>10.0</v>
      </c>
      <c r="K31" s="9" t="str">
        <f>HYPERLINK("https://mobile.twitter.com","Twitter Web App")</f>
        <v>Twitter Web App</v>
      </c>
      <c r="L31" s="14">
        <v>2430.0</v>
      </c>
      <c r="M31" s="14">
        <v>1914.0</v>
      </c>
      <c r="N31" s="14">
        <v>2.0</v>
      </c>
      <c r="O31" s="15"/>
      <c r="P31" s="16">
        <v>44043.365266203706</v>
      </c>
      <c r="Q31" s="10" t="s">
        <v>1344</v>
      </c>
      <c r="R31" s="10" t="s">
        <v>1345</v>
      </c>
      <c r="S31" s="12" t="s">
        <v>1346</v>
      </c>
      <c r="T31" s="11"/>
      <c r="U31" s="17" t="str">
        <f>HYPERLINK("https://pbs.twimg.com/profile_images/1289226206529966080/3c-wzb18.jpg","View")</f>
        <v>View</v>
      </c>
      <c r="V31" s="11"/>
      <c r="W31" s="11"/>
      <c r="X31" s="11"/>
      <c r="Y31" s="11"/>
      <c r="Z31" s="11"/>
    </row>
    <row r="32">
      <c r="A32" s="8">
        <v>44222.521643518514</v>
      </c>
      <c r="B32" s="9" t="str">
        <f>HYPERLINK("https://twitter.com/Crisz_Cerda","@Crisz_Cerda")</f>
        <v>@Crisz_Cerda</v>
      </c>
      <c r="C32" s="10" t="s">
        <v>1347</v>
      </c>
      <c r="D32" s="10" t="s">
        <v>1348</v>
      </c>
      <c r="E32" s="9" t="str">
        <f>HYPERLINK("https://twitter.com/Crisz_Cerda/status/1354165001687326720","1354165001687326720")</f>
        <v>1354165001687326720</v>
      </c>
      <c r="F32" s="11"/>
      <c r="G32" s="11"/>
      <c r="H32" s="11"/>
      <c r="I32" s="13">
        <v>0.0</v>
      </c>
      <c r="J32" s="13">
        <v>0.0</v>
      </c>
      <c r="K32" s="9" t="str">
        <f t="shared" ref="K32:K33" si="7">HYPERLINK("http://twitter.com/download/android","Twitter for Android")</f>
        <v>Twitter for Android</v>
      </c>
      <c r="L32" s="14">
        <v>215.0</v>
      </c>
      <c r="M32" s="14">
        <v>406.0</v>
      </c>
      <c r="N32" s="14">
        <v>0.0</v>
      </c>
      <c r="O32" s="15"/>
      <c r="P32" s="16">
        <v>41463.91596064815</v>
      </c>
      <c r="Q32" s="11"/>
      <c r="R32" s="10" t="s">
        <v>1349</v>
      </c>
      <c r="S32" s="12" t="s">
        <v>1350</v>
      </c>
      <c r="T32" s="11"/>
      <c r="U32" s="17" t="str">
        <f>HYPERLINK("https://pbs.twimg.com/profile_images/1332413489793654786/iaweEZy3.jpg","View")</f>
        <v>View</v>
      </c>
      <c r="V32" s="11"/>
      <c r="W32" s="11"/>
      <c r="X32" s="11"/>
      <c r="Y32" s="11"/>
      <c r="Z32" s="11"/>
    </row>
    <row r="33">
      <c r="A33" s="8">
        <v>44222.52113425926</v>
      </c>
      <c r="B33" s="9" t="str">
        <f>HYPERLINK("https://twitter.com/zaynsken","@zaynsken")</f>
        <v>@zaynsken</v>
      </c>
      <c r="C33" s="10" t="s">
        <v>1351</v>
      </c>
      <c r="D33" s="10" t="s">
        <v>1352</v>
      </c>
      <c r="E33" s="9" t="str">
        <f>HYPERLINK("https://twitter.com/zaynsken/status/1354164816865349632","1354164816865349632")</f>
        <v>1354164816865349632</v>
      </c>
      <c r="F33" s="12" t="s">
        <v>1353</v>
      </c>
      <c r="G33" s="12" t="s">
        <v>1354</v>
      </c>
      <c r="H33" s="11"/>
      <c r="I33" s="13">
        <v>1.0</v>
      </c>
      <c r="J33" s="13">
        <v>1.0</v>
      </c>
      <c r="K33" s="9" t="str">
        <f t="shared" si="7"/>
        <v>Twitter for Android</v>
      </c>
      <c r="L33" s="14">
        <v>946.0</v>
      </c>
      <c r="M33" s="14">
        <v>441.0</v>
      </c>
      <c r="N33" s="14">
        <v>10.0</v>
      </c>
      <c r="O33" s="15"/>
      <c r="P33" s="16">
        <v>43528.26288194444</v>
      </c>
      <c r="Q33" s="10" t="s">
        <v>1355</v>
      </c>
      <c r="R33" s="10" t="s">
        <v>1356</v>
      </c>
      <c r="S33" s="11"/>
      <c r="T33" s="11"/>
      <c r="U33" s="17" t="str">
        <f>HYPERLINK("https://pbs.twimg.com/profile_images/1348413602273894402/oVdAET-6.jpg","View")</f>
        <v>View</v>
      </c>
      <c r="V33" s="11"/>
      <c r="W33" s="11"/>
      <c r="X33" s="11"/>
      <c r="Y33" s="11"/>
      <c r="Z33" s="11"/>
    </row>
    <row r="34">
      <c r="A34" s="8">
        <v>44222.51871527778</v>
      </c>
      <c r="B34" s="9" t="str">
        <f>HYPERLINK("https://twitter.com/luciaxot","@luciaxot")</f>
        <v>@luciaxot</v>
      </c>
      <c r="C34" s="10" t="s">
        <v>1357</v>
      </c>
      <c r="D34" s="10" t="s">
        <v>1358</v>
      </c>
      <c r="E34" s="9" t="str">
        <f>HYPERLINK("https://twitter.com/luciaxot/status/1354163942667513862","1354163942667513862")</f>
        <v>1354163942667513862</v>
      </c>
      <c r="F34" s="11"/>
      <c r="G34" s="11"/>
      <c r="H34" s="11"/>
      <c r="I34" s="13">
        <v>0.0</v>
      </c>
      <c r="J34" s="13">
        <v>0.0</v>
      </c>
      <c r="K34" s="9" t="str">
        <f>HYPERLINK("http://twitter.com/download/iphone","Twitter for iPhone")</f>
        <v>Twitter for iPhone</v>
      </c>
      <c r="L34" s="14">
        <v>370.0</v>
      </c>
      <c r="M34" s="14">
        <v>422.0</v>
      </c>
      <c r="N34" s="14">
        <v>2.0</v>
      </c>
      <c r="O34" s="15"/>
      <c r="P34" s="16">
        <v>44091.104421296295</v>
      </c>
      <c r="Q34" s="11"/>
      <c r="R34" s="10" t="s">
        <v>1359</v>
      </c>
      <c r="S34" s="11"/>
      <c r="T34" s="11"/>
      <c r="U34" s="17" t="str">
        <f>HYPERLINK("https://pbs.twimg.com/profile_images/1335667426655162375/dDmFaoVt.jpg","View")</f>
        <v>View</v>
      </c>
      <c r="V34" s="11"/>
      <c r="W34" s="11"/>
      <c r="X34" s="11"/>
      <c r="Y34" s="11"/>
      <c r="Z34" s="11"/>
    </row>
    <row r="35">
      <c r="A35" s="8">
        <v>44222.51725694444</v>
      </c>
      <c r="B35" s="9" t="str">
        <f>HYPERLINK("https://twitter.com/GilHarrison","@GilHarrison")</f>
        <v>@GilHarrison</v>
      </c>
      <c r="C35" s="10" t="s">
        <v>1360</v>
      </c>
      <c r="D35" s="10" t="s">
        <v>1361</v>
      </c>
      <c r="E35" s="9" t="str">
        <f>HYPERLINK("https://twitter.com/GilHarrison/status/1354163412452966400","1354163412452966400")</f>
        <v>1354163412452966400</v>
      </c>
      <c r="F35" s="11"/>
      <c r="G35" s="11"/>
      <c r="H35" s="11"/>
      <c r="I35" s="13">
        <v>0.0</v>
      </c>
      <c r="J35" s="13">
        <v>0.0</v>
      </c>
      <c r="K35" s="9" t="str">
        <f>HYPERLINK("http://twitter.com/download/android","Twitter for Android")</f>
        <v>Twitter for Android</v>
      </c>
      <c r="L35" s="14">
        <v>293.0</v>
      </c>
      <c r="M35" s="14">
        <v>609.0</v>
      </c>
      <c r="N35" s="14">
        <v>1.0</v>
      </c>
      <c r="O35" s="15"/>
      <c r="P35" s="16">
        <v>40429.617002314815</v>
      </c>
      <c r="Q35" s="11"/>
      <c r="R35" s="11"/>
      <c r="S35" s="11"/>
      <c r="T35" s="11"/>
      <c r="U35" s="17" t="str">
        <f>HYPERLINK("https://pbs.twimg.com/profile_images/1152264517625286656/cQXeGEb3.jpg","View")</f>
        <v>View</v>
      </c>
      <c r="V35" s="11"/>
      <c r="W35" s="11"/>
      <c r="X35" s="11"/>
      <c r="Y35" s="11"/>
      <c r="Z35" s="11"/>
    </row>
    <row r="36">
      <c r="A36" s="8">
        <v>44222.515752314815</v>
      </c>
      <c r="B36" s="9" t="str">
        <f>HYPERLINK("https://twitter.com/spinerau","@spinerau")</f>
        <v>@spinerau</v>
      </c>
      <c r="C36" s="10" t="s">
        <v>1362</v>
      </c>
      <c r="D36" s="10" t="s">
        <v>1363</v>
      </c>
      <c r="E36" s="9" t="str">
        <f>HYPERLINK("https://twitter.com/spinerau/status/1354162867793231872","1354162867793231872")</f>
        <v>1354162867793231872</v>
      </c>
      <c r="F36" s="12" t="s">
        <v>1364</v>
      </c>
      <c r="G36" s="10" t="s">
        <v>1365</v>
      </c>
      <c r="H36" s="11"/>
      <c r="I36" s="13">
        <v>0.0</v>
      </c>
      <c r="J36" s="13">
        <v>0.0</v>
      </c>
      <c r="K36" s="9" t="str">
        <f>HYPERLINK("https://mobile.twitter.com","Twitter Web App")</f>
        <v>Twitter Web App</v>
      </c>
      <c r="L36" s="14">
        <v>2404.0</v>
      </c>
      <c r="M36" s="14">
        <v>1923.0</v>
      </c>
      <c r="N36" s="14">
        <v>93.0</v>
      </c>
      <c r="O36" s="15"/>
      <c r="P36" s="16">
        <v>40568.517118055555</v>
      </c>
      <c r="Q36" s="10" t="s">
        <v>55</v>
      </c>
      <c r="R36" s="10" t="s">
        <v>1366</v>
      </c>
      <c r="S36" s="11"/>
      <c r="T36" s="11"/>
      <c r="U36" s="17" t="str">
        <f>HYPERLINK("https://pbs.twimg.com/profile_images/419853658663038977/jJqny-sk.png","View")</f>
        <v>View</v>
      </c>
      <c r="V36" s="11"/>
      <c r="W36" s="11"/>
      <c r="X36" s="11"/>
      <c r="Y36" s="11"/>
      <c r="Z36" s="11"/>
    </row>
    <row r="37">
      <c r="A37" s="8">
        <v>44222.51431712963</v>
      </c>
      <c r="B37" s="9" t="str">
        <f>HYPERLINK("https://twitter.com/theymadeit1D","@theymadeit1D")</f>
        <v>@theymadeit1D</v>
      </c>
      <c r="C37" s="10" t="s">
        <v>1367</v>
      </c>
      <c r="D37" s="10" t="s">
        <v>1368</v>
      </c>
      <c r="E37" s="9" t="str">
        <f>HYPERLINK("https://twitter.com/theymadeit1D/status/1354162349213687813","1354162349213687813")</f>
        <v>1354162349213687813</v>
      </c>
      <c r="F37" s="12" t="s">
        <v>1369</v>
      </c>
      <c r="G37" s="12" t="s">
        <v>1370</v>
      </c>
      <c r="H37" s="11"/>
      <c r="I37" s="13">
        <v>0.0</v>
      </c>
      <c r="J37" s="13">
        <v>0.0</v>
      </c>
      <c r="K37" s="9" t="str">
        <f t="shared" ref="K37:K42" si="8">HYPERLINK("http://twitter.com/download/android","Twitter for Android")</f>
        <v>Twitter for Android</v>
      </c>
      <c r="L37" s="14">
        <v>1673.0</v>
      </c>
      <c r="M37" s="14">
        <v>1716.0</v>
      </c>
      <c r="N37" s="14">
        <v>28.0</v>
      </c>
      <c r="O37" s="15"/>
      <c r="P37" s="16">
        <v>44000.282071759255</v>
      </c>
      <c r="Q37" s="10" t="s">
        <v>1371</v>
      </c>
      <c r="R37" s="10" t="s">
        <v>1372</v>
      </c>
      <c r="S37" s="11"/>
      <c r="T37" s="11"/>
      <c r="U37" s="17" t="str">
        <f>HYPERLINK("https://pbs.twimg.com/profile_images/1353793316400340999/bClkSA_S.jpg","View")</f>
        <v>View</v>
      </c>
      <c r="V37" s="11"/>
      <c r="W37" s="11"/>
      <c r="X37" s="11"/>
      <c r="Y37" s="11"/>
      <c r="Z37" s="11"/>
    </row>
    <row r="38">
      <c r="A38" s="8">
        <v>44222.51358796297</v>
      </c>
      <c r="B38" s="9" t="str">
        <f>HYPERLINK("https://twitter.com/Crisz_Cerda","@Crisz_Cerda")</f>
        <v>@Crisz_Cerda</v>
      </c>
      <c r="C38" s="10" t="s">
        <v>1347</v>
      </c>
      <c r="D38" s="10" t="s">
        <v>1373</v>
      </c>
      <c r="E38" s="9" t="str">
        <f>HYPERLINK("https://twitter.com/Crisz_Cerda/status/1354162084129497088","1354162084129497088")</f>
        <v>1354162084129497088</v>
      </c>
      <c r="F38" s="11"/>
      <c r="G38" s="11"/>
      <c r="H38" s="11"/>
      <c r="I38" s="13">
        <v>0.0</v>
      </c>
      <c r="J38" s="13">
        <v>0.0</v>
      </c>
      <c r="K38" s="9" t="str">
        <f t="shared" si="8"/>
        <v>Twitter for Android</v>
      </c>
      <c r="L38" s="14">
        <v>215.0</v>
      </c>
      <c r="M38" s="14">
        <v>406.0</v>
      </c>
      <c r="N38" s="14">
        <v>0.0</v>
      </c>
      <c r="O38" s="15"/>
      <c r="P38" s="16">
        <v>41463.91596064815</v>
      </c>
      <c r="Q38" s="11"/>
      <c r="R38" s="10" t="s">
        <v>1349</v>
      </c>
      <c r="S38" s="12" t="s">
        <v>1350</v>
      </c>
      <c r="T38" s="11"/>
      <c r="U38" s="17" t="str">
        <f>HYPERLINK("https://pbs.twimg.com/profile_images/1332413489793654786/iaweEZy3.jpg","View")</f>
        <v>View</v>
      </c>
      <c r="V38" s="11"/>
      <c r="W38" s="11"/>
      <c r="X38" s="11"/>
      <c r="Y38" s="11"/>
      <c r="Z38" s="11"/>
    </row>
    <row r="39">
      <c r="A39" s="8">
        <v>44222.51303240741</v>
      </c>
      <c r="B39" s="9" t="str">
        <f>HYPERLINK("https://twitter.com/MLyn_01","@MLyn_01")</f>
        <v>@MLyn_01</v>
      </c>
      <c r="C39" s="10" t="s">
        <v>1374</v>
      </c>
      <c r="D39" s="10" t="s">
        <v>1375</v>
      </c>
      <c r="E39" s="9" t="str">
        <f>HYPERLINK("https://twitter.com/MLyn_01/status/1354161883427778561","1354161883427778561")</f>
        <v>1354161883427778561</v>
      </c>
      <c r="F39" s="11"/>
      <c r="G39" s="11"/>
      <c r="H39" s="11"/>
      <c r="I39" s="13">
        <v>0.0</v>
      </c>
      <c r="J39" s="13">
        <v>0.0</v>
      </c>
      <c r="K39" s="9" t="str">
        <f t="shared" si="8"/>
        <v>Twitter for Android</v>
      </c>
      <c r="L39" s="14">
        <v>148.0</v>
      </c>
      <c r="M39" s="14">
        <v>150.0</v>
      </c>
      <c r="N39" s="14">
        <v>2.0</v>
      </c>
      <c r="O39" s="15"/>
      <c r="P39" s="16">
        <v>42813.54608796297</v>
      </c>
      <c r="Q39" s="10" t="s">
        <v>1376</v>
      </c>
      <c r="R39" s="10" t="s">
        <v>1377</v>
      </c>
      <c r="S39" s="11"/>
      <c r="T39" s="11"/>
      <c r="U39" s="17" t="str">
        <f>HYPERLINK("https://pbs.twimg.com/profile_images/1337501035384934403/nZL8qdzO.jpg","View")</f>
        <v>View</v>
      </c>
      <c r="V39" s="11"/>
      <c r="W39" s="11"/>
      <c r="X39" s="11"/>
      <c r="Y39" s="11"/>
      <c r="Z39" s="11"/>
    </row>
    <row r="40">
      <c r="A40" s="8">
        <v>44222.51275462963</v>
      </c>
      <c r="B40" s="9" t="str">
        <f>HYPERLINK("https://twitter.com/RsImportaciones","@RsImportaciones")</f>
        <v>@RsImportaciones</v>
      </c>
      <c r="C40" s="10" t="s">
        <v>1378</v>
      </c>
      <c r="D40" s="10" t="s">
        <v>1379</v>
      </c>
      <c r="E40" s="9" t="str">
        <f>HYPERLINK("https://twitter.com/RsImportaciones/status/1354161781506273280","1354161781506273280")</f>
        <v>1354161781506273280</v>
      </c>
      <c r="F40" s="11"/>
      <c r="G40" s="11"/>
      <c r="H40" s="11"/>
      <c r="I40" s="13">
        <v>0.0</v>
      </c>
      <c r="J40" s="13">
        <v>1.0</v>
      </c>
      <c r="K40" s="9" t="str">
        <f t="shared" si="8"/>
        <v>Twitter for Android</v>
      </c>
      <c r="L40" s="14">
        <v>404.0</v>
      </c>
      <c r="M40" s="14">
        <v>2040.0</v>
      </c>
      <c r="N40" s="14">
        <v>0.0</v>
      </c>
      <c r="O40" s="15"/>
      <c r="P40" s="16">
        <v>43705.851377314815</v>
      </c>
      <c r="Q40" s="11"/>
      <c r="R40" s="10" t="s">
        <v>1380</v>
      </c>
      <c r="S40" s="11"/>
      <c r="T40" s="11"/>
      <c r="U40" s="17" t="str">
        <f>HYPERLINK("https://pbs.twimg.com/profile_images/1166918369293021185/txlR0HZ3.jpg","View")</f>
        <v>View</v>
      </c>
      <c r="V40" s="11"/>
      <c r="W40" s="11"/>
      <c r="X40" s="11"/>
      <c r="Y40" s="11"/>
      <c r="Z40" s="11"/>
    </row>
    <row r="41">
      <c r="A41" s="8">
        <v>44222.51199074074</v>
      </c>
      <c r="B41" s="9" t="str">
        <f>HYPERLINK("https://twitter.com/hhwangoogie","@hhwangoogie")</f>
        <v>@hhwangoogie</v>
      </c>
      <c r="C41" s="10" t="s">
        <v>1381</v>
      </c>
      <c r="D41" s="10" t="s">
        <v>1382</v>
      </c>
      <c r="E41" s="9" t="str">
        <f>HYPERLINK("https://twitter.com/hhwangoogie/status/1354161505802006528","1354161505802006528")</f>
        <v>1354161505802006528</v>
      </c>
      <c r="F41" s="11"/>
      <c r="G41" s="11"/>
      <c r="H41" s="11"/>
      <c r="I41" s="13">
        <v>0.0</v>
      </c>
      <c r="J41" s="13">
        <v>0.0</v>
      </c>
      <c r="K41" s="9" t="str">
        <f t="shared" si="8"/>
        <v>Twitter for Android</v>
      </c>
      <c r="L41" s="14">
        <v>267.0</v>
      </c>
      <c r="M41" s="14">
        <v>493.0</v>
      </c>
      <c r="N41" s="14">
        <v>9.0</v>
      </c>
      <c r="O41" s="15"/>
      <c r="P41" s="16">
        <v>43164.56321759259</v>
      </c>
      <c r="Q41" s="10" t="s">
        <v>1383</v>
      </c>
      <c r="R41" s="10" t="s">
        <v>1384</v>
      </c>
      <c r="S41" s="11"/>
      <c r="T41" s="11"/>
      <c r="U41" s="17" t="str">
        <f>HYPERLINK("https://pbs.twimg.com/profile_images/1353543224942604289/tjsnJf2r.jpg","View")</f>
        <v>View</v>
      </c>
      <c r="V41" s="11"/>
      <c r="W41" s="11"/>
      <c r="X41" s="11"/>
      <c r="Y41" s="11"/>
      <c r="Z41" s="11"/>
    </row>
    <row r="42">
      <c r="A42" s="8">
        <v>44222.510717592595</v>
      </c>
      <c r="B42" s="9" t="str">
        <f>HYPERLINK("https://twitter.com/valerylefay","@valerylefay")</f>
        <v>@valerylefay</v>
      </c>
      <c r="C42" s="10" t="s">
        <v>1385</v>
      </c>
      <c r="D42" s="10" t="s">
        <v>1386</v>
      </c>
      <c r="E42" s="9" t="str">
        <f>HYPERLINK("https://twitter.com/valerylefay/status/1354161043187097616","1354161043187097616")</f>
        <v>1354161043187097616</v>
      </c>
      <c r="F42" s="11"/>
      <c r="G42" s="11"/>
      <c r="H42" s="11"/>
      <c r="I42" s="13">
        <v>0.0</v>
      </c>
      <c r="J42" s="13">
        <v>1.0</v>
      </c>
      <c r="K42" s="9" t="str">
        <f t="shared" si="8"/>
        <v>Twitter for Android</v>
      </c>
      <c r="L42" s="14">
        <v>884.0</v>
      </c>
      <c r="M42" s="14">
        <v>1010.0</v>
      </c>
      <c r="N42" s="14">
        <v>14.0</v>
      </c>
      <c r="O42" s="15"/>
      <c r="P42" s="16">
        <v>43141.299895833334</v>
      </c>
      <c r="Q42" s="10" t="s">
        <v>1387</v>
      </c>
      <c r="R42" s="10" t="s">
        <v>1388</v>
      </c>
      <c r="S42" s="11"/>
      <c r="T42" s="11"/>
      <c r="U42" s="17" t="str">
        <f>HYPERLINK("https://pbs.twimg.com/profile_images/1343997655026950153/6Vv1QJmb.jpg","View")</f>
        <v>View</v>
      </c>
      <c r="V42" s="11"/>
      <c r="W42" s="11"/>
      <c r="X42" s="11"/>
      <c r="Y42" s="11"/>
      <c r="Z42" s="11"/>
    </row>
    <row r="43">
      <c r="A43" s="8">
        <v>44222.5093287037</v>
      </c>
      <c r="B43" s="9" t="str">
        <f>HYPERLINK("https://twitter.com/craqdiofficial","@craqdiofficial")</f>
        <v>@craqdiofficial</v>
      </c>
      <c r="C43" s="10" t="s">
        <v>1389</v>
      </c>
      <c r="D43" s="10" t="s">
        <v>1390</v>
      </c>
      <c r="E43" s="9" t="str">
        <f>HYPERLINK("https://twitter.com/craqdiofficial/status/1354160538465542146","1354160538465542146")</f>
        <v>1354160538465542146</v>
      </c>
      <c r="F43" s="11"/>
      <c r="G43" s="11"/>
      <c r="H43" s="11"/>
      <c r="I43" s="13">
        <v>0.0</v>
      </c>
      <c r="J43" s="13">
        <v>0.0</v>
      </c>
      <c r="K43" s="9" t="str">
        <f t="shared" ref="K43:K45" si="9">HYPERLINK("http://twitter.com/download/iphone","Twitter for iPhone")</f>
        <v>Twitter for iPhone</v>
      </c>
      <c r="L43" s="14">
        <v>8.0</v>
      </c>
      <c r="M43" s="14">
        <v>28.0</v>
      </c>
      <c r="N43" s="14">
        <v>0.0</v>
      </c>
      <c r="O43" s="15"/>
      <c r="P43" s="16">
        <v>44126.54201388889</v>
      </c>
      <c r="Q43" s="12" t="s">
        <v>1391</v>
      </c>
      <c r="R43" s="10" t="s">
        <v>1392</v>
      </c>
      <c r="S43" s="12" t="s">
        <v>1393</v>
      </c>
      <c r="T43" s="11"/>
      <c r="U43" s="17" t="str">
        <f>HYPERLINK("https://pbs.twimg.com/profile_images/1319368112144343053/kdLcBqMb.jpg","View")</f>
        <v>View</v>
      </c>
      <c r="V43" s="11"/>
      <c r="W43" s="11"/>
      <c r="X43" s="11"/>
      <c r="Y43" s="11"/>
      <c r="Z43" s="11"/>
    </row>
    <row r="44">
      <c r="A44" s="8">
        <v>44222.50922453703</v>
      </c>
      <c r="B44" s="9" t="str">
        <f>HYPERLINK("https://twitter.com/chaoticwinx","@chaoticwinx")</f>
        <v>@chaoticwinx</v>
      </c>
      <c r="C44" s="10" t="s">
        <v>1394</v>
      </c>
      <c r="D44" s="10" t="s">
        <v>1395</v>
      </c>
      <c r="E44" s="9" t="str">
        <f>HYPERLINK("https://twitter.com/chaoticwinx/status/1354160502012784640","1354160502012784640")</f>
        <v>1354160502012784640</v>
      </c>
      <c r="F44" s="12" t="s">
        <v>1396</v>
      </c>
      <c r="G44" s="12" t="s">
        <v>1397</v>
      </c>
      <c r="H44" s="11"/>
      <c r="I44" s="13">
        <v>0.0</v>
      </c>
      <c r="J44" s="13">
        <v>0.0</v>
      </c>
      <c r="K44" s="9" t="str">
        <f t="shared" si="9"/>
        <v>Twitter for iPhone</v>
      </c>
      <c r="L44" s="14">
        <v>96.0</v>
      </c>
      <c r="M44" s="14">
        <v>119.0</v>
      </c>
      <c r="N44" s="14">
        <v>1.0</v>
      </c>
      <c r="O44" s="15"/>
      <c r="P44" s="16">
        <v>44221.605520833335</v>
      </c>
      <c r="Q44" s="10" t="s">
        <v>834</v>
      </c>
      <c r="R44" s="10" t="s">
        <v>1398</v>
      </c>
      <c r="S44" s="11"/>
      <c r="T44" s="11"/>
      <c r="U44" s="17" t="str">
        <f>HYPERLINK("https://pbs.twimg.com/profile_images/1353833070256906240/hT1PNAcY.jpg","View")</f>
        <v>View</v>
      </c>
      <c r="V44" s="11"/>
      <c r="W44" s="11"/>
      <c r="X44" s="11"/>
      <c r="Y44" s="11"/>
      <c r="Z44" s="11"/>
    </row>
    <row r="45">
      <c r="A45" s="8">
        <v>44222.50894675926</v>
      </c>
      <c r="B45" s="9" t="str">
        <f>HYPERLINK("https://twitter.com/enzacensura","@enzacensura")</f>
        <v>@enzacensura</v>
      </c>
      <c r="C45" s="10" t="s">
        <v>1399</v>
      </c>
      <c r="D45" s="10" t="s">
        <v>1400</v>
      </c>
      <c r="E45" s="9" t="str">
        <f>HYPERLINK("https://twitter.com/enzacensura/status/1354160402821734403","1354160402821734403")</f>
        <v>1354160402821734403</v>
      </c>
      <c r="F45" s="11"/>
      <c r="G45" s="11"/>
      <c r="H45" s="11"/>
      <c r="I45" s="13">
        <v>0.0</v>
      </c>
      <c r="J45" s="13">
        <v>2.0</v>
      </c>
      <c r="K45" s="9" t="str">
        <f t="shared" si="9"/>
        <v>Twitter for iPhone</v>
      </c>
      <c r="L45" s="14">
        <v>1328.0</v>
      </c>
      <c r="M45" s="14">
        <v>817.0</v>
      </c>
      <c r="N45" s="14">
        <v>4.0</v>
      </c>
      <c r="O45" s="15"/>
      <c r="P45" s="16">
        <v>41334.64469907407</v>
      </c>
      <c r="Q45" s="10" t="s">
        <v>1073</v>
      </c>
      <c r="R45" s="10" t="s">
        <v>1401</v>
      </c>
      <c r="S45" s="11"/>
      <c r="T45" s="11"/>
      <c r="U45" s="17" t="str">
        <f>HYPERLINK("https://pbs.twimg.com/profile_images/1329592430384050177/YPsekRQm.jpg","View")</f>
        <v>View</v>
      </c>
      <c r="V45" s="11"/>
      <c r="W45" s="11"/>
      <c r="X45" s="11"/>
      <c r="Y45" s="11"/>
      <c r="Z45" s="11"/>
    </row>
    <row r="46">
      <c r="A46" s="8">
        <v>44222.507256944446</v>
      </c>
      <c r="B46" s="9" t="str">
        <f>HYPERLINK("https://twitter.com/RadioPortales","@RadioPortales")</f>
        <v>@RadioPortales</v>
      </c>
      <c r="C46" s="10" t="s">
        <v>1402</v>
      </c>
      <c r="D46" s="10" t="s">
        <v>1403</v>
      </c>
      <c r="E46" s="9" t="str">
        <f>HYPERLINK("https://twitter.com/RadioPortales/status/1354159789438283777","1354159789438283777")</f>
        <v>1354159789438283777</v>
      </c>
      <c r="F46" s="11"/>
      <c r="G46" s="12" t="s">
        <v>1404</v>
      </c>
      <c r="H46" s="11"/>
      <c r="I46" s="13">
        <v>1.0</v>
      </c>
      <c r="J46" s="13">
        <v>0.0</v>
      </c>
      <c r="K46" s="9" t="str">
        <f>HYPERLINK("https://mobile.twitter.com","Twitter Web App")</f>
        <v>Twitter Web App</v>
      </c>
      <c r="L46" s="14">
        <v>275072.0</v>
      </c>
      <c r="M46" s="14">
        <v>2848.0</v>
      </c>
      <c r="N46" s="14">
        <v>795.0</v>
      </c>
      <c r="O46" s="15"/>
      <c r="P46" s="16">
        <v>40720.49716435185</v>
      </c>
      <c r="Q46" s="10" t="s">
        <v>1269</v>
      </c>
      <c r="R46" s="10" t="s">
        <v>1405</v>
      </c>
      <c r="S46" s="12" t="s">
        <v>1406</v>
      </c>
      <c r="T46" s="11"/>
      <c r="U46" s="17" t="str">
        <f>HYPERLINK("https://pbs.twimg.com/profile_images/1322911419910815744/BFLh0jLm.jpg","View")</f>
        <v>View</v>
      </c>
      <c r="V46" s="11"/>
      <c r="W46" s="11"/>
      <c r="X46" s="11"/>
      <c r="Y46" s="11"/>
      <c r="Z46" s="11"/>
    </row>
    <row r="47">
      <c r="A47" s="8">
        <v>44222.50640046297</v>
      </c>
      <c r="B47" s="9" t="str">
        <f>HYPERLINK("https://twitter.com/Estrategiacl","@Estrategiacl")</f>
        <v>@Estrategiacl</v>
      </c>
      <c r="C47" s="12" t="s">
        <v>1407</v>
      </c>
      <c r="D47" s="10" t="s">
        <v>1408</v>
      </c>
      <c r="E47" s="9" t="str">
        <f>HYPERLINK("https://twitter.com/Estrategiacl/status/1354159480200638464","1354159480200638464")</f>
        <v>1354159480200638464</v>
      </c>
      <c r="F47" s="12" t="s">
        <v>1409</v>
      </c>
      <c r="G47" s="11"/>
      <c r="H47" s="11"/>
      <c r="I47" s="13">
        <v>0.0</v>
      </c>
      <c r="J47" s="13">
        <v>0.0</v>
      </c>
      <c r="K47" s="9" t="str">
        <f t="shared" ref="K47:K48" si="10">HYPERLINK("http://twitter.com/download/android","Twitter for Android")</f>
        <v>Twitter for Android</v>
      </c>
      <c r="L47" s="14">
        <v>75956.0</v>
      </c>
      <c r="M47" s="14">
        <v>2062.0</v>
      </c>
      <c r="N47" s="14">
        <v>831.0</v>
      </c>
      <c r="O47" s="15"/>
      <c r="P47" s="16">
        <v>40374.579560185186</v>
      </c>
      <c r="Q47" s="10" t="s">
        <v>1410</v>
      </c>
      <c r="R47" s="10" t="s">
        <v>1411</v>
      </c>
      <c r="S47" s="12" t="s">
        <v>1412</v>
      </c>
      <c r="T47" s="11"/>
      <c r="U47" s="17" t="str">
        <f>HYPERLINK("https://pbs.twimg.com/profile_images/1303374213349363712/Cxg9uhPo.png","View")</f>
        <v>View</v>
      </c>
      <c r="V47" s="11"/>
      <c r="W47" s="11"/>
      <c r="X47" s="11"/>
      <c r="Y47" s="11"/>
      <c r="Z47" s="11"/>
    </row>
    <row r="48">
      <c r="A48" s="8">
        <v>44222.50604166667</v>
      </c>
      <c r="B48" s="9" t="str">
        <f>HYPERLINK("https://twitter.com/Paula_Kpn","@Paula_Kpn")</f>
        <v>@Paula_Kpn</v>
      </c>
      <c r="C48" s="10" t="s">
        <v>1413</v>
      </c>
      <c r="D48" s="10" t="s">
        <v>1414</v>
      </c>
      <c r="E48" s="9" t="str">
        <f>HYPERLINK("https://twitter.com/Paula_Kpn/status/1354159349959159809","1354159349959159809")</f>
        <v>1354159349959159809</v>
      </c>
      <c r="F48" s="12" t="s">
        <v>1415</v>
      </c>
      <c r="G48" s="12" t="s">
        <v>1416</v>
      </c>
      <c r="H48" s="11"/>
      <c r="I48" s="13">
        <v>1.0</v>
      </c>
      <c r="J48" s="13">
        <v>2.0</v>
      </c>
      <c r="K48" s="9" t="str">
        <f t="shared" si="10"/>
        <v>Twitter for Android</v>
      </c>
      <c r="L48" s="14">
        <v>326.0</v>
      </c>
      <c r="M48" s="14">
        <v>63.0</v>
      </c>
      <c r="N48" s="14">
        <v>0.0</v>
      </c>
      <c r="O48" s="15"/>
      <c r="P48" s="16">
        <v>42442.57851851852</v>
      </c>
      <c r="Q48" s="11"/>
      <c r="R48" s="10" t="s">
        <v>1417</v>
      </c>
      <c r="S48" s="11"/>
      <c r="T48" s="11"/>
      <c r="U48" s="17" t="str">
        <f>HYPERLINK("https://pbs.twimg.com/profile_images/1260307312251731968/K96Rgjhp.jpg","View")</f>
        <v>View</v>
      </c>
      <c r="V48" s="11"/>
      <c r="W48" s="11"/>
      <c r="X48" s="11"/>
      <c r="Y48" s="11"/>
      <c r="Z48" s="11"/>
    </row>
    <row r="49">
      <c r="A49" s="8">
        <v>44222.50518518519</v>
      </c>
      <c r="B49" s="9" t="str">
        <f>HYPERLINK("https://twitter.com/caotica95","@caotica95")</f>
        <v>@caotica95</v>
      </c>
      <c r="C49" s="10" t="s">
        <v>1418</v>
      </c>
      <c r="D49" s="10" t="s">
        <v>1419</v>
      </c>
      <c r="E49" s="9" t="str">
        <f>HYPERLINK("https://twitter.com/caotica95/status/1354159038292963328","1354159038292963328")</f>
        <v>1354159038292963328</v>
      </c>
      <c r="F49" s="12" t="s">
        <v>1415</v>
      </c>
      <c r="G49" s="12" t="s">
        <v>1416</v>
      </c>
      <c r="H49" s="11"/>
      <c r="I49" s="13">
        <v>0.0</v>
      </c>
      <c r="J49" s="13">
        <v>0.0</v>
      </c>
      <c r="K49" s="9" t="str">
        <f>HYPERLINK("http://twitter.com/download/iphone","Twitter for iPhone")</f>
        <v>Twitter for iPhone</v>
      </c>
      <c r="L49" s="14">
        <v>804.0</v>
      </c>
      <c r="M49" s="14">
        <v>614.0</v>
      </c>
      <c r="N49" s="14">
        <v>6.0</v>
      </c>
      <c r="O49" s="15"/>
      <c r="P49" s="16">
        <v>40662.43090277778</v>
      </c>
      <c r="Q49" s="11"/>
      <c r="R49" s="10" t="s">
        <v>1420</v>
      </c>
      <c r="S49" s="11"/>
      <c r="T49" s="11"/>
      <c r="U49" s="17" t="str">
        <f>HYPERLINK("https://pbs.twimg.com/profile_images/1343708915847098370/jzEZBV7-.jpg","View")</f>
        <v>View</v>
      </c>
      <c r="V49" s="11"/>
      <c r="W49" s="11"/>
      <c r="X49" s="11"/>
      <c r="Y49" s="11"/>
      <c r="Z49" s="11"/>
    </row>
    <row r="50">
      <c r="A50" s="8">
        <v>44222.5027662037</v>
      </c>
      <c r="B50" s="9" t="str">
        <f>HYPERLINK("https://twitter.com/Crisz_Cerda","@Crisz_Cerda")</f>
        <v>@Crisz_Cerda</v>
      </c>
      <c r="C50" s="10" t="s">
        <v>1347</v>
      </c>
      <c r="D50" s="10" t="s">
        <v>1421</v>
      </c>
      <c r="E50" s="9" t="str">
        <f>HYPERLINK("https://twitter.com/Crisz_Cerda/status/1354158162568503297","1354158162568503297")</f>
        <v>1354158162568503297</v>
      </c>
      <c r="F50" s="11"/>
      <c r="G50" s="11"/>
      <c r="H50" s="11"/>
      <c r="I50" s="13">
        <v>0.0</v>
      </c>
      <c r="J50" s="13">
        <v>0.0</v>
      </c>
      <c r="K50" s="9" t="str">
        <f t="shared" ref="K50:K52" si="11">HYPERLINK("http://twitter.com/download/android","Twitter for Android")</f>
        <v>Twitter for Android</v>
      </c>
      <c r="L50" s="14">
        <v>215.0</v>
      </c>
      <c r="M50" s="14">
        <v>406.0</v>
      </c>
      <c r="N50" s="14">
        <v>0.0</v>
      </c>
      <c r="O50" s="15"/>
      <c r="P50" s="16">
        <v>41463.91596064815</v>
      </c>
      <c r="Q50" s="11"/>
      <c r="R50" s="10" t="s">
        <v>1349</v>
      </c>
      <c r="S50" s="12" t="s">
        <v>1350</v>
      </c>
      <c r="T50" s="11"/>
      <c r="U50" s="17" t="str">
        <f>HYPERLINK("https://pbs.twimg.com/profile_images/1332413489793654786/iaweEZy3.jpg","View")</f>
        <v>View</v>
      </c>
      <c r="V50" s="11"/>
      <c r="W50" s="11"/>
      <c r="X50" s="11"/>
      <c r="Y50" s="11"/>
      <c r="Z50" s="11"/>
    </row>
    <row r="51">
      <c r="A51" s="8">
        <v>44222.502430555556</v>
      </c>
      <c r="B51" s="9" t="str">
        <f>HYPERLINK("https://twitter.com/anxcxg_","@anxcxg_")</f>
        <v>@anxcxg_</v>
      </c>
      <c r="C51" s="10" t="s">
        <v>1422</v>
      </c>
      <c r="D51" s="10" t="s">
        <v>1423</v>
      </c>
      <c r="E51" s="9" t="str">
        <f>HYPERLINK("https://twitter.com/anxcxg_/status/1354158041688629249","1354158041688629249")</f>
        <v>1354158041688629249</v>
      </c>
      <c r="F51" s="12" t="s">
        <v>1415</v>
      </c>
      <c r="G51" s="12" t="s">
        <v>1416</v>
      </c>
      <c r="H51" s="11"/>
      <c r="I51" s="13">
        <v>0.0</v>
      </c>
      <c r="J51" s="13">
        <v>2.0</v>
      </c>
      <c r="K51" s="9" t="str">
        <f t="shared" si="11"/>
        <v>Twitter for Android</v>
      </c>
      <c r="L51" s="14">
        <v>1084.0</v>
      </c>
      <c r="M51" s="14">
        <v>575.0</v>
      </c>
      <c r="N51" s="14">
        <v>10.0</v>
      </c>
      <c r="O51" s="15"/>
      <c r="P51" s="16">
        <v>43425.191412037035</v>
      </c>
      <c r="Q51" s="11"/>
      <c r="R51" s="10" t="s">
        <v>1424</v>
      </c>
      <c r="S51" s="11"/>
      <c r="T51" s="11"/>
      <c r="U51" s="17" t="str">
        <f>HYPERLINK("https://pbs.twimg.com/profile_images/1345350674054324226/5F_XD46w.jpg","View")</f>
        <v>View</v>
      </c>
      <c r="V51" s="11"/>
      <c r="W51" s="11"/>
      <c r="X51" s="11"/>
      <c r="Y51" s="11"/>
      <c r="Z51" s="11"/>
    </row>
    <row r="52">
      <c r="A52" s="8">
        <v>44222.50122685185</v>
      </c>
      <c r="B52" s="9" t="str">
        <f>HYPERLINK("https://twitter.com/cuidaesedetalle","@cuidaesedetalle")</f>
        <v>@cuidaesedetalle</v>
      </c>
      <c r="C52" s="10" t="s">
        <v>1425</v>
      </c>
      <c r="D52" s="10" t="s">
        <v>1426</v>
      </c>
      <c r="E52" s="9" t="str">
        <f>HYPERLINK("https://twitter.com/cuidaesedetalle/status/1354157602024861697","1354157602024861697")</f>
        <v>1354157602024861697</v>
      </c>
      <c r="F52" s="11"/>
      <c r="G52" s="11"/>
      <c r="H52" s="11"/>
      <c r="I52" s="13">
        <v>0.0</v>
      </c>
      <c r="J52" s="13">
        <v>1.0</v>
      </c>
      <c r="K52" s="9" t="str">
        <f t="shared" si="11"/>
        <v>Twitter for Android</v>
      </c>
      <c r="L52" s="14">
        <v>1280.0</v>
      </c>
      <c r="M52" s="14">
        <v>1232.0</v>
      </c>
      <c r="N52" s="14">
        <v>10.0</v>
      </c>
      <c r="O52" s="15"/>
      <c r="P52" s="16">
        <v>43812.65289351852</v>
      </c>
      <c r="Q52" s="11"/>
      <c r="R52" s="10" t="s">
        <v>1427</v>
      </c>
      <c r="S52" s="12" t="s">
        <v>1428</v>
      </c>
      <c r="T52" s="11"/>
      <c r="U52" s="17" t="str">
        <f>HYPERLINK("https://pbs.twimg.com/profile_images/1350175805788352520/WE8mdnj6.jpg","View")</f>
        <v>View</v>
      </c>
      <c r="V52" s="11"/>
      <c r="W52" s="11"/>
      <c r="X52" s="11"/>
      <c r="Y52" s="11"/>
      <c r="Z52" s="11"/>
    </row>
    <row r="53">
      <c r="A53" s="8">
        <v>44222.50001157407</v>
      </c>
      <c r="B53" s="9" t="str">
        <f>HYPERLINK("https://twitter.com/Tele13_Radio","@Tele13_Radio")</f>
        <v>@Tele13_Radio</v>
      </c>
      <c r="C53" s="10" t="s">
        <v>1265</v>
      </c>
      <c r="D53" s="10" t="s">
        <v>1429</v>
      </c>
      <c r="E53" s="9" t="str">
        <f>HYPERLINK("https://twitter.com/Tele13_Radio/status/1354157165183979530","1354157165183979530")</f>
        <v>1354157165183979530</v>
      </c>
      <c r="F53" s="12" t="s">
        <v>1307</v>
      </c>
      <c r="G53" s="12" t="s">
        <v>1430</v>
      </c>
      <c r="H53" s="11"/>
      <c r="I53" s="13">
        <v>0.0</v>
      </c>
      <c r="J53" s="13">
        <v>0.0</v>
      </c>
      <c r="K53" s="9" t="str">
        <f>HYPERLINK("https://studio.twitter.com","Twitter Media Studio")</f>
        <v>Twitter Media Studio</v>
      </c>
      <c r="L53" s="14">
        <v>139840.0</v>
      </c>
      <c r="M53" s="14">
        <v>8639.0</v>
      </c>
      <c r="N53" s="14">
        <v>498.0</v>
      </c>
      <c r="O53" s="19" t="s">
        <v>1225</v>
      </c>
      <c r="P53" s="16">
        <v>42093.521203703705</v>
      </c>
      <c r="Q53" s="10" t="s">
        <v>1269</v>
      </c>
      <c r="R53" s="10" t="s">
        <v>1270</v>
      </c>
      <c r="S53" s="12" t="s">
        <v>1271</v>
      </c>
      <c r="T53" s="11"/>
      <c r="U53" s="17" t="str">
        <f>HYPERLINK("https://pbs.twimg.com/profile_images/958838054080442373/VEPAgakx.jpg","View")</f>
        <v>View</v>
      </c>
      <c r="V53" s="11"/>
      <c r="W53" s="11"/>
      <c r="X53" s="11"/>
      <c r="Y53" s="11"/>
      <c r="Z53" s="11"/>
    </row>
    <row r="54">
      <c r="A54" s="8">
        <v>44222.498344907406</v>
      </c>
      <c r="B54" s="9" t="str">
        <f>HYPERLINK("https://twitter.com/indignadapiola","@indignadapiola")</f>
        <v>@indignadapiola</v>
      </c>
      <c r="C54" s="10" t="s">
        <v>1431</v>
      </c>
      <c r="D54" s="10" t="s">
        <v>1432</v>
      </c>
      <c r="E54" s="9" t="str">
        <f>HYPERLINK("https://twitter.com/indignadapiola/status/1354156561111904257","1354156561111904257")</f>
        <v>1354156561111904257</v>
      </c>
      <c r="F54" s="12" t="s">
        <v>1433</v>
      </c>
      <c r="G54" s="11"/>
      <c r="H54" s="11"/>
      <c r="I54" s="13">
        <v>1.0</v>
      </c>
      <c r="J54" s="13">
        <v>0.0</v>
      </c>
      <c r="K54" s="9" t="str">
        <f>HYPERLINK("https://mobile.twitter.com","Twitter Web App")</f>
        <v>Twitter Web App</v>
      </c>
      <c r="L54" s="14">
        <v>14810.0</v>
      </c>
      <c r="M54" s="14">
        <v>13073.0</v>
      </c>
      <c r="N54" s="14">
        <v>66.0</v>
      </c>
      <c r="O54" s="15"/>
      <c r="P54" s="16">
        <v>40348.01689814815</v>
      </c>
      <c r="Q54" s="10" t="s">
        <v>1434</v>
      </c>
      <c r="R54" s="10" t="s">
        <v>1435</v>
      </c>
      <c r="S54" s="11"/>
      <c r="T54" s="11"/>
      <c r="U54" s="17" t="str">
        <f>HYPERLINK("https://pbs.twimg.com/profile_images/1322087468796203008/bXGuVphL.jpg","View")</f>
        <v>View</v>
      </c>
      <c r="V54" s="11"/>
      <c r="W54" s="11"/>
      <c r="X54" s="11"/>
      <c r="Y54" s="11"/>
      <c r="Z54" s="11"/>
    </row>
    <row r="55">
      <c r="A55" s="8">
        <v>44222.497986111106</v>
      </c>
      <c r="B55" s="9" t="str">
        <f>HYPERLINK("https://twitter.com/mentoliness","@mentoliness")</f>
        <v>@mentoliness</v>
      </c>
      <c r="C55" s="10" t="s">
        <v>1436</v>
      </c>
      <c r="D55" s="10" t="s">
        <v>1437</v>
      </c>
      <c r="E55" s="9" t="str">
        <f>HYPERLINK("https://twitter.com/mentoliness/status/1354156431419830272","1354156431419830272")</f>
        <v>1354156431419830272</v>
      </c>
      <c r="F55" s="11"/>
      <c r="G55" s="12" t="s">
        <v>1438</v>
      </c>
      <c r="H55" s="11"/>
      <c r="I55" s="13">
        <v>0.0</v>
      </c>
      <c r="J55" s="13">
        <v>2.0</v>
      </c>
      <c r="K55" s="9" t="str">
        <f>HYPERLINK("http://twitter.com/download/iphone","Twitter for iPhone")</f>
        <v>Twitter for iPhone</v>
      </c>
      <c r="L55" s="14">
        <v>363.0</v>
      </c>
      <c r="M55" s="14">
        <v>105.0</v>
      </c>
      <c r="N55" s="14">
        <v>1.0</v>
      </c>
      <c r="O55" s="15"/>
      <c r="P55" s="16">
        <v>43366.6078125</v>
      </c>
      <c r="Q55" s="11"/>
      <c r="R55" s="10" t="s">
        <v>1439</v>
      </c>
      <c r="S55" s="11"/>
      <c r="T55" s="11"/>
      <c r="U55" s="17" t="str">
        <f>HYPERLINK("https://pbs.twimg.com/profile_images/1352359414204948487/55sqEnA8.jpg","View")</f>
        <v>View</v>
      </c>
      <c r="V55" s="11"/>
      <c r="W55" s="11"/>
      <c r="X55" s="11"/>
      <c r="Y55" s="11"/>
      <c r="Z55" s="11"/>
    </row>
    <row r="56">
      <c r="A56" s="8">
        <v>44222.49707175926</v>
      </c>
      <c r="B56" s="9" t="str">
        <f>HYPERLINK("https://twitter.com/RadioPortales","@RadioPortales")</f>
        <v>@RadioPortales</v>
      </c>
      <c r="C56" s="10" t="s">
        <v>1402</v>
      </c>
      <c r="D56" s="10" t="s">
        <v>1440</v>
      </c>
      <c r="E56" s="9" t="str">
        <f>HYPERLINK("https://twitter.com/RadioPortales/status/1354156099423887365","1354156099423887365")</f>
        <v>1354156099423887365</v>
      </c>
      <c r="F56" s="11"/>
      <c r="G56" s="12" t="s">
        <v>1441</v>
      </c>
      <c r="H56" s="11"/>
      <c r="I56" s="13">
        <v>1.0</v>
      </c>
      <c r="J56" s="13">
        <v>1.0</v>
      </c>
      <c r="K56" s="9" t="str">
        <f>HYPERLINK("https://mobile.twitter.com","Twitter Web App")</f>
        <v>Twitter Web App</v>
      </c>
      <c r="L56" s="14">
        <v>275072.0</v>
      </c>
      <c r="M56" s="14">
        <v>2848.0</v>
      </c>
      <c r="N56" s="14">
        <v>795.0</v>
      </c>
      <c r="O56" s="15"/>
      <c r="P56" s="16">
        <v>40720.49716435185</v>
      </c>
      <c r="Q56" s="10" t="s">
        <v>1269</v>
      </c>
      <c r="R56" s="10" t="s">
        <v>1405</v>
      </c>
      <c r="S56" s="12" t="s">
        <v>1406</v>
      </c>
      <c r="T56" s="11"/>
      <c r="U56" s="17" t="str">
        <f>HYPERLINK("https://pbs.twimg.com/profile_images/1322911419910815744/BFLh0jLm.jpg","View")</f>
        <v>View</v>
      </c>
      <c r="V56" s="11"/>
      <c r="W56" s="11"/>
      <c r="X56" s="11"/>
      <c r="Y56" s="11"/>
      <c r="Z56" s="11"/>
    </row>
    <row r="57">
      <c r="A57" s="8">
        <v>44222.49652777778</v>
      </c>
      <c r="B57" s="9" t="str">
        <f>HYPERLINK("https://twitter.com/Tele13_Radio","@Tele13_Radio")</f>
        <v>@Tele13_Radio</v>
      </c>
      <c r="C57" s="10" t="s">
        <v>1265</v>
      </c>
      <c r="D57" s="10" t="s">
        <v>1306</v>
      </c>
      <c r="E57" s="9" t="str">
        <f>HYPERLINK("https://twitter.com/Tele13_Radio/status/1354155900064432130","1354155900064432130")</f>
        <v>1354155900064432130</v>
      </c>
      <c r="F57" s="12" t="s">
        <v>1307</v>
      </c>
      <c r="G57" s="12" t="s">
        <v>1308</v>
      </c>
      <c r="H57" s="11"/>
      <c r="I57" s="13">
        <v>0.0</v>
      </c>
      <c r="J57" s="13">
        <v>0.0</v>
      </c>
      <c r="K57" s="9" t="str">
        <f>HYPERLINK("https://studio.twitter.com","Twitter Media Studio")</f>
        <v>Twitter Media Studio</v>
      </c>
      <c r="L57" s="14">
        <v>139840.0</v>
      </c>
      <c r="M57" s="14">
        <v>8639.0</v>
      </c>
      <c r="N57" s="14">
        <v>498.0</v>
      </c>
      <c r="O57" s="19" t="s">
        <v>1225</v>
      </c>
      <c r="P57" s="16">
        <v>42093.521203703705</v>
      </c>
      <c r="Q57" s="10" t="s">
        <v>1269</v>
      </c>
      <c r="R57" s="10" t="s">
        <v>1270</v>
      </c>
      <c r="S57" s="12" t="s">
        <v>1271</v>
      </c>
      <c r="T57" s="11"/>
      <c r="U57" s="17" t="str">
        <f>HYPERLINK("https://pbs.twimg.com/profile_images/958838054080442373/VEPAgakx.jpg","View")</f>
        <v>View</v>
      </c>
      <c r="V57" s="11"/>
      <c r="W57" s="11"/>
      <c r="X57" s="11"/>
      <c r="Y57" s="11"/>
      <c r="Z57" s="11"/>
    </row>
    <row r="58">
      <c r="A58" s="8">
        <v>44222.494097222225</v>
      </c>
      <c r="B58" s="9" t="str">
        <f>HYPERLINK("https://twitter.com/livingbythem_","@livingbythem_")</f>
        <v>@livingbythem_</v>
      </c>
      <c r="C58" s="10" t="s">
        <v>1442</v>
      </c>
      <c r="D58" s="10" t="s">
        <v>1443</v>
      </c>
      <c r="E58" s="9" t="str">
        <f>HYPERLINK("https://twitter.com/livingbythem_/status/1354155021605236739","1354155021605236739")</f>
        <v>1354155021605236739</v>
      </c>
      <c r="F58" s="12" t="s">
        <v>1415</v>
      </c>
      <c r="G58" s="12" t="s">
        <v>1416</v>
      </c>
      <c r="H58" s="11"/>
      <c r="I58" s="13">
        <v>1.0</v>
      </c>
      <c r="J58" s="13">
        <v>5.0</v>
      </c>
      <c r="K58" s="9" t="str">
        <f>HYPERLINK("http://twitter.com/download/iphone","Twitter for iPhone")</f>
        <v>Twitter for iPhone</v>
      </c>
      <c r="L58" s="14">
        <v>1080.0</v>
      </c>
      <c r="M58" s="14">
        <v>726.0</v>
      </c>
      <c r="N58" s="14">
        <v>9.0</v>
      </c>
      <c r="O58" s="15"/>
      <c r="P58" s="16">
        <v>42476.63024305555</v>
      </c>
      <c r="Q58" s="10" t="s">
        <v>1444</v>
      </c>
      <c r="R58" s="10" t="s">
        <v>1445</v>
      </c>
      <c r="S58" s="11"/>
      <c r="T58" s="11"/>
      <c r="U58" s="17" t="str">
        <f>HYPERLINK("https://pbs.twimg.com/profile_images/1327439537149239298/v-y8uram.jpg","View")</f>
        <v>View</v>
      </c>
      <c r="V58" s="11"/>
      <c r="W58" s="11"/>
      <c r="X58" s="11"/>
      <c r="Y58" s="11"/>
      <c r="Z58" s="11"/>
    </row>
    <row r="59">
      <c r="A59" s="8">
        <v>44222.49350694445</v>
      </c>
      <c r="B59" s="9" t="str">
        <f>HYPERLINK("https://twitter.com/CrisLopez0807","@CrisLopez0807")</f>
        <v>@CrisLopez0807</v>
      </c>
      <c r="C59" s="10" t="s">
        <v>1446</v>
      </c>
      <c r="D59" s="10" t="s">
        <v>1447</v>
      </c>
      <c r="E59" s="9" t="str">
        <f>HYPERLINK("https://twitter.com/CrisLopez0807/status/1354154804755521538","1354154804755521538")</f>
        <v>1354154804755521538</v>
      </c>
      <c r="F59" s="12" t="s">
        <v>1448</v>
      </c>
      <c r="G59" s="11"/>
      <c r="H59" s="11"/>
      <c r="I59" s="13">
        <v>0.0</v>
      </c>
      <c r="J59" s="13">
        <v>1.0</v>
      </c>
      <c r="K59" s="9" t="str">
        <f>HYPERLINK("http://twitter.com/download/android","Twitter for Android")</f>
        <v>Twitter for Android</v>
      </c>
      <c r="L59" s="14">
        <v>118.0</v>
      </c>
      <c r="M59" s="14">
        <v>112.0</v>
      </c>
      <c r="N59" s="14">
        <v>2.0</v>
      </c>
      <c r="O59" s="15"/>
      <c r="P59" s="16">
        <v>43899.542499999996</v>
      </c>
      <c r="Q59" s="10" t="s">
        <v>1449</v>
      </c>
      <c r="R59" s="10" t="s">
        <v>1450</v>
      </c>
      <c r="S59" s="11"/>
      <c r="T59" s="11"/>
      <c r="U59" s="17" t="str">
        <f>HYPERLINK("https://pbs.twimg.com/profile_images/1353326065863843841/4XMwKtYO.jpg","View")</f>
        <v>View</v>
      </c>
      <c r="V59" s="11"/>
      <c r="W59" s="11"/>
      <c r="X59" s="11"/>
      <c r="Y59" s="11"/>
      <c r="Z59" s="11"/>
    </row>
    <row r="60">
      <c r="A60" s="8">
        <v>44222.493206018524</v>
      </c>
      <c r="B60" s="9" t="str">
        <f>HYPERLINK("https://twitter.com/MartaDias2","@MartaDias2")</f>
        <v>@MartaDias2</v>
      </c>
      <c r="C60" s="10" t="s">
        <v>1451</v>
      </c>
      <c r="D60" s="10" t="s">
        <v>1452</v>
      </c>
      <c r="E60" s="9" t="str">
        <f>HYPERLINK("https://twitter.com/MartaDias2/status/1354154698622828545","1354154698622828545")</f>
        <v>1354154698622828545</v>
      </c>
      <c r="F60" s="12" t="s">
        <v>1415</v>
      </c>
      <c r="G60" s="12" t="s">
        <v>1416</v>
      </c>
      <c r="H60" s="11"/>
      <c r="I60" s="13">
        <v>0.0</v>
      </c>
      <c r="J60" s="13">
        <v>0.0</v>
      </c>
      <c r="K60" s="9" t="str">
        <f>HYPERLINK("https://mobile.twitter.com","Twitter Web App")</f>
        <v>Twitter Web App</v>
      </c>
      <c r="L60" s="14">
        <v>490.0</v>
      </c>
      <c r="M60" s="14">
        <v>897.0</v>
      </c>
      <c r="N60" s="14">
        <v>7.0</v>
      </c>
      <c r="O60" s="15"/>
      <c r="P60" s="16">
        <v>40664.65021990741</v>
      </c>
      <c r="Q60" s="10" t="s">
        <v>1453</v>
      </c>
      <c r="R60" s="10" t="s">
        <v>1454</v>
      </c>
      <c r="S60" s="11"/>
      <c r="T60" s="11"/>
      <c r="U60" s="17" t="str">
        <f>HYPERLINK("https://pbs.twimg.com/profile_images/1001599737177493505/8LZUzrrB.jpg","View")</f>
        <v>View</v>
      </c>
      <c r="V60" s="11"/>
      <c r="W60" s="11"/>
      <c r="X60" s="11"/>
      <c r="Y60" s="11"/>
      <c r="Z60" s="11"/>
    </row>
    <row r="61">
      <c r="A61" s="8">
        <v>44222.491643518515</v>
      </c>
      <c r="B61" s="9" t="str">
        <f>HYPERLINK("https://twitter.com/cerda_montalvo","@cerda_montalvo")</f>
        <v>@cerda_montalvo</v>
      </c>
      <c r="C61" s="10" t="s">
        <v>1455</v>
      </c>
      <c r="D61" s="10" t="s">
        <v>1456</v>
      </c>
      <c r="E61" s="9" t="str">
        <f>HYPERLINK("https://twitter.com/cerda_montalvo/status/1354154129199927297","1354154129199927297")</f>
        <v>1354154129199927297</v>
      </c>
      <c r="F61" s="11"/>
      <c r="G61" s="11"/>
      <c r="H61" s="11"/>
      <c r="I61" s="13">
        <v>0.0</v>
      </c>
      <c r="J61" s="13">
        <v>0.0</v>
      </c>
      <c r="K61" s="9" t="str">
        <f>HYPERLINK("http://twitter.com/download/android","Twitter for Android")</f>
        <v>Twitter for Android</v>
      </c>
      <c r="L61" s="14">
        <v>8.0</v>
      </c>
      <c r="M61" s="14">
        <v>127.0</v>
      </c>
      <c r="N61" s="14">
        <v>0.0</v>
      </c>
      <c r="O61" s="15"/>
      <c r="P61" s="16">
        <v>43123.850856481484</v>
      </c>
      <c r="Q61" s="10" t="s">
        <v>1457</v>
      </c>
      <c r="R61" s="11"/>
      <c r="S61" s="11"/>
      <c r="T61" s="11"/>
      <c r="U61" s="17" t="str">
        <f>HYPERLINK("https://pbs.twimg.com/profile_images/1353756317824004096/o5ZB7w4C.jpg","View")</f>
        <v>View</v>
      </c>
      <c r="V61" s="11"/>
      <c r="W61" s="11"/>
      <c r="X61" s="11"/>
      <c r="Y61" s="11"/>
      <c r="Z61" s="11"/>
    </row>
    <row r="62">
      <c r="A62" s="8">
        <v>44222.49162037037</v>
      </c>
      <c r="B62" s="9" t="str">
        <f>HYPERLINK("https://twitter.com/punkmartini","@punkmartini")</f>
        <v>@punkmartini</v>
      </c>
      <c r="C62" s="10" t="s">
        <v>1458</v>
      </c>
      <c r="D62" s="10" t="s">
        <v>1459</v>
      </c>
      <c r="E62" s="9" t="str">
        <f>HYPERLINK("https://twitter.com/punkmartini/status/1354154121687920646","1354154121687920646")</f>
        <v>1354154121687920646</v>
      </c>
      <c r="F62" s="12" t="s">
        <v>1415</v>
      </c>
      <c r="G62" s="12" t="s">
        <v>1416</v>
      </c>
      <c r="H62" s="11"/>
      <c r="I62" s="13">
        <v>0.0</v>
      </c>
      <c r="J62" s="13">
        <v>0.0</v>
      </c>
      <c r="K62" s="9" t="str">
        <f>HYPERLINK("http://twitter.com/download/iphone","Twitter for iPhone")</f>
        <v>Twitter for iPhone</v>
      </c>
      <c r="L62" s="14">
        <v>228.0</v>
      </c>
      <c r="M62" s="14">
        <v>602.0</v>
      </c>
      <c r="N62" s="14">
        <v>1.0</v>
      </c>
      <c r="O62" s="15"/>
      <c r="P62" s="16">
        <v>43456.28711805555</v>
      </c>
      <c r="Q62" s="10" t="s">
        <v>1460</v>
      </c>
      <c r="R62" s="10" t="s">
        <v>1461</v>
      </c>
      <c r="S62" s="11"/>
      <c r="T62" s="11"/>
      <c r="U62" s="17" t="str">
        <f>HYPERLINK("https://pbs.twimg.com/profile_images/1249385405373386752/eYcAJUX6.jpg","View")</f>
        <v>View</v>
      </c>
      <c r="V62" s="11"/>
      <c r="W62" s="11"/>
      <c r="X62" s="11"/>
      <c r="Y62" s="11"/>
      <c r="Z62" s="11"/>
    </row>
    <row r="63">
      <c r="A63" s="8">
        <v>44222.49083333333</v>
      </c>
      <c r="B63" s="9" t="str">
        <f>HYPERLINK("https://twitter.com/prisonregui","@prisonregui")</f>
        <v>@prisonregui</v>
      </c>
      <c r="C63" s="10" t="s">
        <v>1462</v>
      </c>
      <c r="D63" s="10" t="s">
        <v>1463</v>
      </c>
      <c r="E63" s="9" t="str">
        <f>HYPERLINK("https://twitter.com/prisonregui/status/1354153838060711938","1354153838060711938")</f>
        <v>1354153838060711938</v>
      </c>
      <c r="F63" s="12" t="s">
        <v>1415</v>
      </c>
      <c r="G63" s="12" t="s">
        <v>1416</v>
      </c>
      <c r="H63" s="11"/>
      <c r="I63" s="13">
        <v>0.0</v>
      </c>
      <c r="J63" s="13">
        <v>0.0</v>
      </c>
      <c r="K63" s="9" t="str">
        <f>HYPERLINK("http://twitter.com/download/android","Twitter for Android")</f>
        <v>Twitter for Android</v>
      </c>
      <c r="L63" s="14">
        <v>2466.0</v>
      </c>
      <c r="M63" s="14">
        <v>761.0</v>
      </c>
      <c r="N63" s="14">
        <v>49.0</v>
      </c>
      <c r="O63" s="15"/>
      <c r="P63" s="16">
        <v>42539.62064814815</v>
      </c>
      <c r="Q63" s="11"/>
      <c r="R63" s="11"/>
      <c r="S63" s="11"/>
      <c r="T63" s="11"/>
      <c r="U63" s="17" t="str">
        <f>HYPERLINK("https://pbs.twimg.com/profile_images/1343578781324345346/GrYp2NoR.jpg","View")</f>
        <v>View</v>
      </c>
      <c r="V63" s="11"/>
      <c r="W63" s="11"/>
      <c r="X63" s="11"/>
      <c r="Y63" s="11"/>
      <c r="Z63" s="11"/>
    </row>
    <row r="64">
      <c r="A64" s="8">
        <v>44222.49050925926</v>
      </c>
      <c r="B64" s="9" t="str">
        <f>HYPERLINK("https://twitter.com/cerda_02","@cerda_02")</f>
        <v>@cerda_02</v>
      </c>
      <c r="C64" s="10" t="s">
        <v>1464</v>
      </c>
      <c r="D64" s="10" t="s">
        <v>1465</v>
      </c>
      <c r="E64" s="9" t="str">
        <f>HYPERLINK("https://twitter.com/cerda_02/status/1354153720121090050","1354153720121090050")</f>
        <v>1354153720121090050</v>
      </c>
      <c r="F64" s="12" t="s">
        <v>1466</v>
      </c>
      <c r="G64" s="12" t="s">
        <v>1467</v>
      </c>
      <c r="H64" s="11"/>
      <c r="I64" s="13">
        <v>0.0</v>
      </c>
      <c r="J64" s="13">
        <v>2.0</v>
      </c>
      <c r="K64" s="9" t="str">
        <f>HYPERLINK("http://twitter.com/download/iphone","Twitter for iPhone")</f>
        <v>Twitter for iPhone</v>
      </c>
      <c r="L64" s="14">
        <v>19.0</v>
      </c>
      <c r="M64" s="14">
        <v>66.0</v>
      </c>
      <c r="N64" s="14">
        <v>0.0</v>
      </c>
      <c r="O64" s="15"/>
      <c r="P64" s="16">
        <v>44194.77627314815</v>
      </c>
      <c r="Q64" s="11"/>
      <c r="R64" s="10" t="s">
        <v>1468</v>
      </c>
      <c r="S64" s="11"/>
      <c r="T64" s="11"/>
      <c r="U64" s="17" t="str">
        <f>HYPERLINK("https://pbs.twimg.com/profile_images/1351244570617655306/7wSinEcT.jpg","View")</f>
        <v>View</v>
      </c>
      <c r="V64" s="11"/>
      <c r="W64" s="11"/>
      <c r="X64" s="11"/>
      <c r="Y64" s="11"/>
      <c r="Z64" s="11"/>
    </row>
    <row r="65">
      <c r="A65" s="8">
        <v>44222.48993055556</v>
      </c>
      <c r="B65" s="9" t="str">
        <f>HYPERLINK("https://twitter.com/anhellical","@anhellical")</f>
        <v>@anhellical</v>
      </c>
      <c r="C65" s="10" t="s">
        <v>1469</v>
      </c>
      <c r="D65" s="10" t="s">
        <v>1470</v>
      </c>
      <c r="E65" s="9" t="str">
        <f>HYPERLINK("https://twitter.com/anhellical/status/1354153510384922624","1354153510384922624")</f>
        <v>1354153510384922624</v>
      </c>
      <c r="F65" s="12" t="s">
        <v>1471</v>
      </c>
      <c r="G65" s="11"/>
      <c r="H65" s="11"/>
      <c r="I65" s="13">
        <v>0.0</v>
      </c>
      <c r="J65" s="13">
        <v>0.0</v>
      </c>
      <c r="K65" s="9" t="str">
        <f>HYPERLINK("http://twitter.com/download/android","Twitter for Android")</f>
        <v>Twitter for Android</v>
      </c>
      <c r="L65" s="14">
        <v>2227.0</v>
      </c>
      <c r="M65" s="14">
        <v>452.0</v>
      </c>
      <c r="N65" s="14">
        <v>11.0</v>
      </c>
      <c r="O65" s="15"/>
      <c r="P65" s="16">
        <v>41701.19517361111</v>
      </c>
      <c r="Q65" s="10" t="s">
        <v>1472</v>
      </c>
      <c r="R65" s="10" t="s">
        <v>1473</v>
      </c>
      <c r="S65" s="11"/>
      <c r="T65" s="11"/>
      <c r="U65" s="17" t="str">
        <f>HYPERLINK("https://pbs.twimg.com/profile_images/1350883784590295042/Pl35Dt-p.jpg","View")</f>
        <v>View</v>
      </c>
      <c r="V65" s="11"/>
      <c r="W65" s="11"/>
      <c r="X65" s="11"/>
      <c r="Y65" s="11"/>
      <c r="Z65" s="11"/>
    </row>
    <row r="66">
      <c r="A66" s="8">
        <v>44222.48967592593</v>
      </c>
      <c r="B66" s="9" t="str">
        <f>HYPERLINK("https://twitter.com/gajaro","@gajaro")</f>
        <v>@gajaro</v>
      </c>
      <c r="C66" s="10" t="s">
        <v>1474</v>
      </c>
      <c r="D66" s="10" t="s">
        <v>1475</v>
      </c>
      <c r="E66" s="9" t="str">
        <f>HYPERLINK("https://twitter.com/gajaro/status/1354153420156932096","1354153420156932096")</f>
        <v>1354153420156932096</v>
      </c>
      <c r="F66" s="12" t="s">
        <v>1476</v>
      </c>
      <c r="G66" s="11"/>
      <c r="H66" s="11"/>
      <c r="I66" s="13">
        <v>0.0</v>
      </c>
      <c r="J66" s="13">
        <v>0.0</v>
      </c>
      <c r="K66" s="9" t="str">
        <f>HYPERLINK("https://mobile.twitter.com","Twitter Web App")</f>
        <v>Twitter Web App</v>
      </c>
      <c r="L66" s="14">
        <v>1126.0</v>
      </c>
      <c r="M66" s="14">
        <v>1126.0</v>
      </c>
      <c r="N66" s="14">
        <v>2.0</v>
      </c>
      <c r="O66" s="15"/>
      <c r="P66" s="16">
        <v>40228.738703703704</v>
      </c>
      <c r="Q66" s="10" t="s">
        <v>1269</v>
      </c>
      <c r="R66" s="10" t="s">
        <v>1477</v>
      </c>
      <c r="S66" s="11"/>
      <c r="T66" s="11"/>
      <c r="U66" s="17" t="str">
        <f>HYPERLINK("https://pbs.twimg.com/profile_images/1196149154684256256/_-OLj6eA.jpg","View")</f>
        <v>View</v>
      </c>
      <c r="V66" s="11"/>
      <c r="W66" s="11"/>
      <c r="X66" s="11"/>
      <c r="Y66" s="11"/>
      <c r="Z66" s="11"/>
    </row>
    <row r="67">
      <c r="A67" s="8">
        <v>44222.48903935185</v>
      </c>
      <c r="B67" s="9" t="str">
        <f>HYPERLINK("https://twitter.com/GranotaFootball","@GranotaFootball")</f>
        <v>@GranotaFootball</v>
      </c>
      <c r="C67" s="10" t="s">
        <v>1478</v>
      </c>
      <c r="D67" s="10" t="s">
        <v>1479</v>
      </c>
      <c r="E67" s="9" t="str">
        <f>HYPERLINK("https://twitter.com/GranotaFootball/status/1354153187612229639","1354153187612229639")</f>
        <v>1354153187612229639</v>
      </c>
      <c r="F67" s="11"/>
      <c r="G67" s="11"/>
      <c r="H67" s="11"/>
      <c r="I67" s="13">
        <v>0.0</v>
      </c>
      <c r="J67" s="13">
        <v>6.0</v>
      </c>
      <c r="K67" s="9" t="str">
        <f>HYPERLINK("http://twitter.com/download/android","Twitter for Android")</f>
        <v>Twitter for Android</v>
      </c>
      <c r="L67" s="14">
        <v>1523.0</v>
      </c>
      <c r="M67" s="14">
        <v>470.0</v>
      </c>
      <c r="N67" s="14">
        <v>8.0</v>
      </c>
      <c r="O67" s="15"/>
      <c r="P67" s="16">
        <v>42885.48336805556</v>
      </c>
      <c r="Q67" s="10" t="s">
        <v>1480</v>
      </c>
      <c r="R67" s="10" t="s">
        <v>1481</v>
      </c>
      <c r="S67" s="11"/>
      <c r="T67" s="11"/>
      <c r="U67" s="17" t="str">
        <f>HYPERLINK("https://pbs.twimg.com/profile_images/1350609830801793030/cGsbTwCh.jpg","View")</f>
        <v>View</v>
      </c>
      <c r="V67" s="11"/>
      <c r="W67" s="11"/>
      <c r="X67" s="11"/>
      <c r="Y67" s="11"/>
      <c r="Z67" s="11"/>
    </row>
    <row r="68">
      <c r="A68" s="8">
        <v>44222.48761574074</v>
      </c>
      <c r="B68" s="9" t="str">
        <f t="shared" ref="B68:B69" si="12">HYPERLINK("https://twitter.com/edu_cerda","@edu_cerda")</f>
        <v>@edu_cerda</v>
      </c>
      <c r="C68" s="10" t="s">
        <v>1482</v>
      </c>
      <c r="D68" s="10" t="s">
        <v>1483</v>
      </c>
      <c r="E68" s="9" t="str">
        <f>HYPERLINK("https://twitter.com/edu_cerda/status/1354152671322796033","1354152671322796033")</f>
        <v>1354152671322796033</v>
      </c>
      <c r="F68" s="11"/>
      <c r="G68" s="11"/>
      <c r="H68" s="11"/>
      <c r="I68" s="13">
        <v>0.0</v>
      </c>
      <c r="J68" s="13">
        <v>9.0</v>
      </c>
      <c r="K68" s="9" t="str">
        <f t="shared" ref="K68:K69" si="13">HYPERLINK("https://mobile.twitter.com","Twitter Web App")</f>
        <v>Twitter Web App</v>
      </c>
      <c r="L68" s="14">
        <v>958.0</v>
      </c>
      <c r="M68" s="14">
        <v>2705.0</v>
      </c>
      <c r="N68" s="14">
        <v>0.0</v>
      </c>
      <c r="O68" s="15"/>
      <c r="P68" s="16">
        <v>40245.702997685185</v>
      </c>
      <c r="Q68" s="10" t="s">
        <v>1226</v>
      </c>
      <c r="R68" s="11"/>
      <c r="S68" s="11"/>
      <c r="T68" s="11"/>
      <c r="U68" s="17" t="str">
        <f t="shared" ref="U68:U69" si="14">HYPERLINK("https://pbs.twimg.com/profile_images/1313266946046136334/mm-fo6c7.jpg","View")</f>
        <v>View</v>
      </c>
      <c r="V68" s="11"/>
      <c r="W68" s="11"/>
      <c r="X68" s="11"/>
      <c r="Y68" s="11"/>
      <c r="Z68" s="11"/>
    </row>
    <row r="69">
      <c r="A69" s="8">
        <v>44222.48658564815</v>
      </c>
      <c r="B69" s="9" t="str">
        <f t="shared" si="12"/>
        <v>@edu_cerda</v>
      </c>
      <c r="C69" s="10" t="s">
        <v>1482</v>
      </c>
      <c r="D69" s="10" t="s">
        <v>1484</v>
      </c>
      <c r="E69" s="9" t="str">
        <f>HYPERLINK("https://twitter.com/edu_cerda/status/1354152298977619968","1354152298977619968")</f>
        <v>1354152298977619968</v>
      </c>
      <c r="F69" s="11"/>
      <c r="G69" s="11"/>
      <c r="H69" s="11"/>
      <c r="I69" s="13">
        <v>2.0</v>
      </c>
      <c r="J69" s="13">
        <v>13.0</v>
      </c>
      <c r="K69" s="9" t="str">
        <f t="shared" si="13"/>
        <v>Twitter Web App</v>
      </c>
      <c r="L69" s="14">
        <v>958.0</v>
      </c>
      <c r="M69" s="14">
        <v>2705.0</v>
      </c>
      <c r="N69" s="14">
        <v>0.0</v>
      </c>
      <c r="O69" s="15"/>
      <c r="P69" s="16">
        <v>40245.702997685185</v>
      </c>
      <c r="Q69" s="10" t="s">
        <v>1226</v>
      </c>
      <c r="R69" s="11"/>
      <c r="S69" s="11"/>
      <c r="T69" s="11"/>
      <c r="U69" s="17" t="str">
        <f t="shared" si="14"/>
        <v>View</v>
      </c>
      <c r="V69" s="11"/>
      <c r="W69" s="11"/>
      <c r="X69" s="11"/>
      <c r="Y69" s="11"/>
      <c r="Z69" s="11"/>
    </row>
    <row r="70">
      <c r="A70" s="8">
        <v>44222.486342592594</v>
      </c>
      <c r="B70" s="9" t="str">
        <f>HYPERLINK("https://twitter.com/sexotube1","@sexotube1")</f>
        <v>@sexotube1</v>
      </c>
      <c r="C70" s="10" t="s">
        <v>1485</v>
      </c>
      <c r="D70" s="10" t="s">
        <v>1486</v>
      </c>
      <c r="E70" s="9" t="str">
        <f>HYPERLINK("https://twitter.com/sexotube1/status/1354152212042280965","1354152212042280965")</f>
        <v>1354152212042280965</v>
      </c>
      <c r="F70" s="12" t="s">
        <v>1487</v>
      </c>
      <c r="G70" s="11"/>
      <c r="H70" s="11"/>
      <c r="I70" s="13">
        <v>0.0</v>
      </c>
      <c r="J70" s="13">
        <v>0.0</v>
      </c>
      <c r="K70" s="9" t="str">
        <f t="shared" ref="K70:K72" si="15">HYPERLINK("http://publicize.wp.com/","WordPress.com")</f>
        <v>WordPress.com</v>
      </c>
      <c r="L70" s="14">
        <v>90353.0</v>
      </c>
      <c r="M70" s="14">
        <v>4922.0</v>
      </c>
      <c r="N70" s="14">
        <v>130.0</v>
      </c>
      <c r="O70" s="15"/>
      <c r="P70" s="16">
        <v>40661.599016203705</v>
      </c>
      <c r="Q70" s="10" t="s">
        <v>515</v>
      </c>
      <c r="R70" s="10" t="s">
        <v>1488</v>
      </c>
      <c r="S70" s="12" t="s">
        <v>1489</v>
      </c>
      <c r="T70" s="11"/>
      <c r="U70" s="17" t="str">
        <f>HYPERLINK("https://pbs.twimg.com/profile_images/780022940834336768/zqCc-Kpz.jpg","View")</f>
        <v>View</v>
      </c>
      <c r="V70" s="11"/>
      <c r="W70" s="11"/>
      <c r="X70" s="11"/>
      <c r="Y70" s="11"/>
      <c r="Z70" s="11"/>
    </row>
    <row r="71">
      <c r="A71" s="8">
        <v>44222.486342592594</v>
      </c>
      <c r="B71" s="9" t="str">
        <f>HYPERLINK("https://twitter.com/noticieroporno","@noticieroporno")</f>
        <v>@noticieroporno</v>
      </c>
      <c r="C71" s="10" t="s">
        <v>1490</v>
      </c>
      <c r="D71" s="10" t="s">
        <v>1486</v>
      </c>
      <c r="E71" s="9" t="str">
        <f>HYPERLINK("https://twitter.com/noticieroporno/status/1354152208879800321","1354152208879800321")</f>
        <v>1354152208879800321</v>
      </c>
      <c r="F71" s="12" t="s">
        <v>1487</v>
      </c>
      <c r="G71" s="11"/>
      <c r="H71" s="11"/>
      <c r="I71" s="13">
        <v>0.0</v>
      </c>
      <c r="J71" s="13">
        <v>0.0</v>
      </c>
      <c r="K71" s="9" t="str">
        <f t="shared" si="15"/>
        <v>WordPress.com</v>
      </c>
      <c r="L71" s="14">
        <v>104908.0</v>
      </c>
      <c r="M71" s="14">
        <v>61.0</v>
      </c>
      <c r="N71" s="14">
        <v>69.0</v>
      </c>
      <c r="O71" s="15"/>
      <c r="P71" s="16">
        <v>40951.69535879629</v>
      </c>
      <c r="Q71" s="11"/>
      <c r="R71" s="10" t="s">
        <v>1491</v>
      </c>
      <c r="S71" s="12" t="s">
        <v>1492</v>
      </c>
      <c r="T71" s="11"/>
      <c r="U71" s="17" t="str">
        <f>HYPERLINK("https://pbs.twimg.com/profile_images/1823447094/535.jpg","View")</f>
        <v>View</v>
      </c>
      <c r="V71" s="11"/>
      <c r="W71" s="11"/>
      <c r="X71" s="11"/>
      <c r="Y71" s="11"/>
      <c r="Z71" s="11"/>
    </row>
    <row r="72">
      <c r="A72" s="8">
        <v>44222.486284722225</v>
      </c>
      <c r="B72" s="9" t="str">
        <f>HYPERLINK("https://twitter.com/chollosdiario","@chollosdiario")</f>
        <v>@chollosdiario</v>
      </c>
      <c r="C72" s="10" t="s">
        <v>1493</v>
      </c>
      <c r="D72" s="10" t="s">
        <v>1494</v>
      </c>
      <c r="E72" s="9" t="str">
        <f>HYPERLINK("https://twitter.com/chollosdiario/status/1354152189300793345","1354152189300793345")</f>
        <v>1354152189300793345</v>
      </c>
      <c r="F72" s="12" t="s">
        <v>1495</v>
      </c>
      <c r="G72" s="11"/>
      <c r="H72" s="11"/>
      <c r="I72" s="13">
        <v>0.0</v>
      </c>
      <c r="J72" s="13">
        <v>0.0</v>
      </c>
      <c r="K72" s="9" t="str">
        <f t="shared" si="15"/>
        <v>WordPress.com</v>
      </c>
      <c r="L72" s="14">
        <v>106.0</v>
      </c>
      <c r="M72" s="14">
        <v>14.0</v>
      </c>
      <c r="N72" s="14">
        <v>0.0</v>
      </c>
      <c r="O72" s="15"/>
      <c r="P72" s="16">
        <v>43963.66237268518</v>
      </c>
      <c r="Q72" s="10" t="s">
        <v>515</v>
      </c>
      <c r="R72" s="10" t="s">
        <v>1496</v>
      </c>
      <c r="S72" s="12" t="s">
        <v>1497</v>
      </c>
      <c r="T72" s="11"/>
      <c r="U72" s="17" t="str">
        <f>HYPERLINK("https://pbs.twimg.com/profile_images/1260342560326914055/m5qHVyTy.jpg","View")</f>
        <v>View</v>
      </c>
      <c r="V72" s="11"/>
      <c r="W72" s="11"/>
      <c r="X72" s="11"/>
      <c r="Y72" s="11"/>
      <c r="Z72" s="11"/>
    </row>
    <row r="73">
      <c r="A73" s="8">
        <v>44222.486180555556</v>
      </c>
      <c r="B73" s="9" t="str">
        <f>HYPERLINK("https://twitter.com/thecliniccl","@thecliniccl")</f>
        <v>@thecliniccl</v>
      </c>
      <c r="C73" s="10" t="s">
        <v>1498</v>
      </c>
      <c r="D73" s="10" t="s">
        <v>1499</v>
      </c>
      <c r="E73" s="9" t="str">
        <f>HYPERLINK("https://twitter.com/thecliniccl/status/1354152150172106762","1354152150172106762")</f>
        <v>1354152150172106762</v>
      </c>
      <c r="F73" s="10" t="s">
        <v>1500</v>
      </c>
      <c r="G73" s="11"/>
      <c r="H73" s="11"/>
      <c r="I73" s="13">
        <v>0.0</v>
      </c>
      <c r="J73" s="13">
        <v>1.0</v>
      </c>
      <c r="K73" s="9" t="str">
        <f>HYPERLINK("https://www.hootsuite.com","Hootsuite Inc.")</f>
        <v>Hootsuite Inc.</v>
      </c>
      <c r="L73" s="14">
        <v>1902807.0</v>
      </c>
      <c r="M73" s="14">
        <v>3513.0</v>
      </c>
      <c r="N73" s="14">
        <v>4073.0</v>
      </c>
      <c r="O73" s="19" t="s">
        <v>1225</v>
      </c>
      <c r="P73" s="16">
        <v>40119.290509259255</v>
      </c>
      <c r="Q73" s="10" t="s">
        <v>1269</v>
      </c>
      <c r="R73" s="10" t="s">
        <v>1501</v>
      </c>
      <c r="S73" s="12" t="s">
        <v>1502</v>
      </c>
      <c r="T73" s="11"/>
      <c r="U73" s="17" t="str">
        <f>HYPERLINK("https://pbs.twimg.com/profile_images/1267943855711817741/aL2_Cope.jpg","View")</f>
        <v>View</v>
      </c>
      <c r="V73" s="11"/>
      <c r="W73" s="11"/>
      <c r="X73" s="11"/>
      <c r="Y73" s="11"/>
      <c r="Z73" s="11"/>
    </row>
    <row r="74">
      <c r="A74" s="8">
        <v>44222.48611111111</v>
      </c>
      <c r="B74" s="9" t="str">
        <f>HYPERLINK("https://twitter.com/latercera","@latercera")</f>
        <v>@latercera</v>
      </c>
      <c r="C74" s="10" t="s">
        <v>1221</v>
      </c>
      <c r="D74" s="10" t="s">
        <v>1503</v>
      </c>
      <c r="E74" s="9" t="str">
        <f>HYPERLINK("https://twitter.com/latercera/status/1354152125102759936","1354152125102759936")</f>
        <v>1354152125102759936</v>
      </c>
      <c r="F74" s="12" t="s">
        <v>1504</v>
      </c>
      <c r="G74" s="12" t="s">
        <v>1505</v>
      </c>
      <c r="H74" s="11"/>
      <c r="I74" s="13">
        <v>0.0</v>
      </c>
      <c r="J74" s="13">
        <v>4.0</v>
      </c>
      <c r="K74" s="9" t="str">
        <f>HYPERLINK("https://about.twitter.com/products/tweetdeck","TweetDeck")</f>
        <v>TweetDeck</v>
      </c>
      <c r="L74" s="14">
        <v>1968489.0</v>
      </c>
      <c r="M74" s="14">
        <v>222073.0</v>
      </c>
      <c r="N74" s="14">
        <v>6822.0</v>
      </c>
      <c r="O74" s="19" t="s">
        <v>1225</v>
      </c>
      <c r="P74" s="16">
        <v>39174.348773148144</v>
      </c>
      <c r="Q74" s="10" t="s">
        <v>1226</v>
      </c>
      <c r="R74" s="10" t="s">
        <v>1227</v>
      </c>
      <c r="S74" s="12" t="s">
        <v>1228</v>
      </c>
      <c r="T74" s="11"/>
      <c r="U74" s="17" t="str">
        <f>HYPERLINK("https://pbs.twimg.com/profile_images/1044643886830891010/mtzLUR40.jpg","View")</f>
        <v>View</v>
      </c>
      <c r="V74" s="11"/>
      <c r="W74" s="11"/>
      <c r="X74" s="11"/>
      <c r="Y74" s="11"/>
      <c r="Z74" s="11"/>
    </row>
    <row r="75">
      <c r="A75" s="8">
        <v>44222.4853125</v>
      </c>
      <c r="B75" s="9" t="str">
        <f>HYPERLINK("https://twitter.com/edu_cerda","@edu_cerda")</f>
        <v>@edu_cerda</v>
      </c>
      <c r="C75" s="10" t="s">
        <v>1482</v>
      </c>
      <c r="D75" s="10" t="s">
        <v>1506</v>
      </c>
      <c r="E75" s="9" t="str">
        <f>HYPERLINK("https://twitter.com/edu_cerda/status/1354151836173934592","1354151836173934592")</f>
        <v>1354151836173934592</v>
      </c>
      <c r="F75" s="11"/>
      <c r="G75" s="11"/>
      <c r="H75" s="11"/>
      <c r="I75" s="13">
        <v>0.0</v>
      </c>
      <c r="J75" s="13">
        <v>2.0</v>
      </c>
      <c r="K75" s="9" t="str">
        <f>HYPERLINK("https://mobile.twitter.com","Twitter Web App")</f>
        <v>Twitter Web App</v>
      </c>
      <c r="L75" s="14">
        <v>958.0</v>
      </c>
      <c r="M75" s="14">
        <v>2705.0</v>
      </c>
      <c r="N75" s="14">
        <v>0.0</v>
      </c>
      <c r="O75" s="15"/>
      <c r="P75" s="16">
        <v>40245.702997685185</v>
      </c>
      <c r="Q75" s="10" t="s">
        <v>1226</v>
      </c>
      <c r="R75" s="11"/>
      <c r="S75" s="11"/>
      <c r="T75" s="11"/>
      <c r="U75" s="17" t="str">
        <f>HYPERLINK("https://pbs.twimg.com/profile_images/1313266946046136334/mm-fo6c7.jpg","View")</f>
        <v>View</v>
      </c>
      <c r="V75" s="11"/>
      <c r="W75" s="11"/>
      <c r="X75" s="11"/>
      <c r="Y75" s="11"/>
      <c r="Z75" s="11"/>
    </row>
    <row r="76">
      <c r="A76" s="8">
        <v>44222.48509259259</v>
      </c>
      <c r="B76" s="9" t="str">
        <f>HYPERLINK("https://twitter.com/chivi45","@chivi45")</f>
        <v>@chivi45</v>
      </c>
      <c r="C76" s="10" t="s">
        <v>1507</v>
      </c>
      <c r="D76" s="10" t="s">
        <v>1508</v>
      </c>
      <c r="E76" s="9" t="str">
        <f>HYPERLINK("https://twitter.com/chivi45/status/1354151755681067009","1354151755681067009")</f>
        <v>1354151755681067009</v>
      </c>
      <c r="F76" s="12" t="s">
        <v>1509</v>
      </c>
      <c r="G76" s="11"/>
      <c r="H76" s="11"/>
      <c r="I76" s="13">
        <v>2.0</v>
      </c>
      <c r="J76" s="13">
        <v>3.0</v>
      </c>
      <c r="K76" s="9" t="str">
        <f>HYPERLINK("http://twitter.com/download/android","Twitter for Android")</f>
        <v>Twitter for Android</v>
      </c>
      <c r="L76" s="14">
        <v>14286.0</v>
      </c>
      <c r="M76" s="14">
        <v>11504.0</v>
      </c>
      <c r="N76" s="14">
        <v>7.0</v>
      </c>
      <c r="O76" s="15"/>
      <c r="P76" s="16">
        <v>40619.631527777776</v>
      </c>
      <c r="Q76" s="11"/>
      <c r="R76" s="10" t="s">
        <v>1510</v>
      </c>
      <c r="S76" s="11"/>
      <c r="T76" s="11"/>
      <c r="U76" s="17" t="str">
        <f>HYPERLINK("https://pbs.twimg.com/profile_images/1139286827221835776/IiaRlS1K.jpg","View")</f>
        <v>View</v>
      </c>
      <c r="V76" s="11"/>
      <c r="W76" s="11"/>
      <c r="X76" s="11"/>
      <c r="Y76" s="11"/>
      <c r="Z76" s="11"/>
    </row>
    <row r="77">
      <c r="A77" s="8">
        <v>44222.48465277778</v>
      </c>
      <c r="B77" s="9" t="str">
        <f>HYPERLINK("https://twitter.com/FurkanandicaskF","@FurkanandicaskF")</f>
        <v>@FurkanandicaskF</v>
      </c>
      <c r="C77" s="10" t="s">
        <v>1511</v>
      </c>
      <c r="D77" s="10" t="s">
        <v>1512</v>
      </c>
      <c r="E77" s="9" t="str">
        <f>HYPERLINK("https://twitter.com/FurkanandicaskF/status/1354151598247829510","1354151598247829510")</f>
        <v>1354151598247829510</v>
      </c>
      <c r="F77" s="11"/>
      <c r="G77" s="11"/>
      <c r="H77" s="11"/>
      <c r="I77" s="13">
        <v>0.0</v>
      </c>
      <c r="J77" s="13">
        <v>3.0</v>
      </c>
      <c r="K77" s="9" t="str">
        <f>HYPERLINK("https://mobile.twitter.com","Twitter Web App")</f>
        <v>Twitter Web App</v>
      </c>
      <c r="L77" s="14">
        <v>43.0</v>
      </c>
      <c r="M77" s="14">
        <v>62.0</v>
      </c>
      <c r="N77" s="14">
        <v>0.0</v>
      </c>
      <c r="O77" s="15"/>
      <c r="P77" s="16">
        <v>44162.37849537037</v>
      </c>
      <c r="Q77" s="11"/>
      <c r="R77" s="10" t="s">
        <v>1513</v>
      </c>
      <c r="S77" s="12" t="s">
        <v>1514</v>
      </c>
      <c r="T77" s="11"/>
      <c r="U77" s="17" t="str">
        <f>HYPERLINK("https://pbs.twimg.com/profile_images/1332369940389765120/NE3UBXbu.jpg","View")</f>
        <v>View</v>
      </c>
      <c r="V77" s="11"/>
      <c r="W77" s="11"/>
      <c r="X77" s="11"/>
      <c r="Y77" s="11"/>
      <c r="Z77" s="11"/>
    </row>
    <row r="78">
      <c r="A78" s="8">
        <v>44222.48266203704</v>
      </c>
      <c r="B78" s="9" t="str">
        <f>HYPERLINK("https://twitter.com/VeritasCapitur","@VeritasCapitur")</f>
        <v>@VeritasCapitur</v>
      </c>
      <c r="C78" s="10" t="s">
        <v>1515</v>
      </c>
      <c r="D78" s="10" t="s">
        <v>1516</v>
      </c>
      <c r="E78" s="9" t="str">
        <f>HYPERLINK("https://twitter.com/VeritasCapitur/status/1354150876982747137","1354150876982747137")</f>
        <v>1354150876982747137</v>
      </c>
      <c r="F78" s="12" t="s">
        <v>1517</v>
      </c>
      <c r="G78" s="11"/>
      <c r="H78" s="11"/>
      <c r="I78" s="13">
        <v>0.0</v>
      </c>
      <c r="J78" s="13">
        <v>0.0</v>
      </c>
      <c r="K78" s="9" t="str">
        <f>HYPERLINK("https://www.hootsuite.com","Hootsuite Inc.")</f>
        <v>Hootsuite Inc.</v>
      </c>
      <c r="L78" s="14">
        <v>2177.0</v>
      </c>
      <c r="M78" s="14">
        <v>164.0</v>
      </c>
      <c r="N78" s="14">
        <v>6.0</v>
      </c>
      <c r="O78" s="15"/>
      <c r="P78" s="16">
        <v>40787.47597222222</v>
      </c>
      <c r="Q78" s="10" t="s">
        <v>1269</v>
      </c>
      <c r="R78" s="10" t="s">
        <v>1518</v>
      </c>
      <c r="S78" s="12" t="s">
        <v>1519</v>
      </c>
      <c r="T78" s="11"/>
      <c r="U78" s="17" t="str">
        <f>HYPERLINK("https://pbs.twimg.com/profile_images/1304967572027322368/ccDtEJLw.png","View")</f>
        <v>View</v>
      </c>
      <c r="V78" s="11"/>
      <c r="W78" s="11"/>
      <c r="X78" s="11"/>
      <c r="Y78" s="11"/>
      <c r="Z78" s="11"/>
    </row>
    <row r="79">
      <c r="A79" s="8">
        <v>44222.48167824074</v>
      </c>
      <c r="B79" s="9" t="str">
        <f>HYPERLINK("https://twitter.com/Tele13_Radio","@Tele13_Radio")</f>
        <v>@Tele13_Radio</v>
      </c>
      <c r="C79" s="10" t="s">
        <v>1265</v>
      </c>
      <c r="D79" s="10" t="s">
        <v>1339</v>
      </c>
      <c r="E79" s="9" t="str">
        <f>HYPERLINK("https://twitter.com/Tele13_Radio/status/1354150518940180480","1354150518940180480")</f>
        <v>1354150518940180480</v>
      </c>
      <c r="F79" s="12" t="s">
        <v>1307</v>
      </c>
      <c r="G79" s="12" t="s">
        <v>1340</v>
      </c>
      <c r="H79" s="11"/>
      <c r="I79" s="13">
        <v>0.0</v>
      </c>
      <c r="J79" s="13">
        <v>0.0</v>
      </c>
      <c r="K79" s="9" t="str">
        <f>HYPERLINK("https://studio.twitter.com","Twitter Media Studio")</f>
        <v>Twitter Media Studio</v>
      </c>
      <c r="L79" s="14">
        <v>139840.0</v>
      </c>
      <c r="M79" s="14">
        <v>8639.0</v>
      </c>
      <c r="N79" s="14">
        <v>498.0</v>
      </c>
      <c r="O79" s="19" t="s">
        <v>1225</v>
      </c>
      <c r="P79" s="16">
        <v>42093.521203703705</v>
      </c>
      <c r="Q79" s="10" t="s">
        <v>1269</v>
      </c>
      <c r="R79" s="10" t="s">
        <v>1270</v>
      </c>
      <c r="S79" s="12" t="s">
        <v>1271</v>
      </c>
      <c r="T79" s="11"/>
      <c r="U79" s="17" t="str">
        <f>HYPERLINK("https://pbs.twimg.com/profile_images/958838054080442373/VEPAgakx.jpg","View")</f>
        <v>View</v>
      </c>
      <c r="V79" s="11"/>
      <c r="W79" s="11"/>
      <c r="X79" s="11"/>
      <c r="Y79" s="11"/>
      <c r="Z79" s="11"/>
    </row>
    <row r="80">
      <c r="A80" s="8">
        <v>44222.48164351852</v>
      </c>
      <c r="B80" s="9" t="str">
        <f>HYPERLINK("https://twitter.com/AnnaOb2","@AnnaOb2")</f>
        <v>@AnnaOb2</v>
      </c>
      <c r="C80" s="10" t="s">
        <v>1520</v>
      </c>
      <c r="D80" s="10" t="s">
        <v>1521</v>
      </c>
      <c r="E80" s="9" t="str">
        <f>HYPERLINK("https://twitter.com/AnnaOb2/status/1354150509389688836","1354150509389688836")</f>
        <v>1354150509389688836</v>
      </c>
      <c r="F80" s="11"/>
      <c r="G80" s="11"/>
      <c r="H80" s="11"/>
      <c r="I80" s="13">
        <v>1.0</v>
      </c>
      <c r="J80" s="13">
        <v>0.0</v>
      </c>
      <c r="K80" s="9" t="str">
        <f t="shared" ref="K80:K81" si="16">HYPERLINK("http://twitter.com/download/iphone","Twitter for iPhone")</f>
        <v>Twitter for iPhone</v>
      </c>
      <c r="L80" s="14">
        <v>581.0</v>
      </c>
      <c r="M80" s="14">
        <v>369.0</v>
      </c>
      <c r="N80" s="14">
        <v>1.0</v>
      </c>
      <c r="O80" s="15"/>
      <c r="P80" s="16">
        <v>40689.68278935185</v>
      </c>
      <c r="Q80" s="11"/>
      <c r="R80" s="11"/>
      <c r="S80" s="12" t="s">
        <v>1522</v>
      </c>
      <c r="T80" s="11"/>
      <c r="U80" s="17" t="str">
        <f>HYPERLINK("https://pbs.twimg.com/profile_images/1353520226671976451/TY3BJVPt.jpg","View")</f>
        <v>View</v>
      </c>
      <c r="V80" s="11"/>
      <c r="W80" s="11"/>
      <c r="X80" s="11"/>
      <c r="Y80" s="11"/>
      <c r="Z80" s="11"/>
    </row>
    <row r="81">
      <c r="A81" s="8">
        <v>44222.481469907405</v>
      </c>
      <c r="B81" s="9" t="str">
        <f>HYPERLINK("https://twitter.com/TorreEiffelGirl","@TorreEiffelGirl")</f>
        <v>@TorreEiffelGirl</v>
      </c>
      <c r="C81" s="10" t="s">
        <v>1523</v>
      </c>
      <c r="D81" s="10" t="s">
        <v>1524</v>
      </c>
      <c r="E81" s="9" t="str">
        <f>HYPERLINK("https://twitter.com/TorreEiffelGirl/status/1354150445594378241","1354150445594378241")</f>
        <v>1354150445594378241</v>
      </c>
      <c r="F81" s="12" t="s">
        <v>1525</v>
      </c>
      <c r="G81" s="12" t="s">
        <v>1526</v>
      </c>
      <c r="H81" s="11"/>
      <c r="I81" s="13">
        <v>0.0</v>
      </c>
      <c r="J81" s="13">
        <v>0.0</v>
      </c>
      <c r="K81" s="9" t="str">
        <f t="shared" si="16"/>
        <v>Twitter for iPhone</v>
      </c>
      <c r="L81" s="14">
        <v>570.0</v>
      </c>
      <c r="M81" s="14">
        <v>349.0</v>
      </c>
      <c r="N81" s="14">
        <v>16.0</v>
      </c>
      <c r="O81" s="15"/>
      <c r="P81" s="16">
        <v>43890.35498842593</v>
      </c>
      <c r="Q81" s="10" t="s">
        <v>1527</v>
      </c>
      <c r="R81" s="10" t="s">
        <v>1528</v>
      </c>
      <c r="S81" s="11"/>
      <c r="T81" s="11"/>
      <c r="U81" s="17" t="str">
        <f>HYPERLINK("https://pbs.twimg.com/profile_images/1343753573201543169/ciSgV8B8.jpg","View")</f>
        <v>View</v>
      </c>
      <c r="V81" s="11"/>
      <c r="W81" s="11"/>
      <c r="X81" s="11"/>
      <c r="Y81" s="11"/>
      <c r="Z81" s="11"/>
    </row>
    <row r="82">
      <c r="A82" s="8">
        <v>44222.47809027778</v>
      </c>
      <c r="B82" s="9" t="str">
        <f t="shared" ref="B82:B84" si="17">HYPERLINK("https://twitter.com/edu_cerda","@edu_cerda")</f>
        <v>@edu_cerda</v>
      </c>
      <c r="C82" s="10" t="s">
        <v>1482</v>
      </c>
      <c r="D82" s="10" t="s">
        <v>1529</v>
      </c>
      <c r="E82" s="9" t="str">
        <f>HYPERLINK("https://twitter.com/edu_cerda/status/1354149217728667651","1354149217728667651")</f>
        <v>1354149217728667651</v>
      </c>
      <c r="F82" s="11"/>
      <c r="G82" s="11"/>
      <c r="H82" s="11"/>
      <c r="I82" s="13">
        <v>0.0</v>
      </c>
      <c r="J82" s="13">
        <v>4.0</v>
      </c>
      <c r="K82" s="9" t="str">
        <f t="shared" ref="K82:K84" si="18">HYPERLINK("https://mobile.twitter.com","Twitter Web App")</f>
        <v>Twitter Web App</v>
      </c>
      <c r="L82" s="14">
        <v>958.0</v>
      </c>
      <c r="M82" s="14">
        <v>2705.0</v>
      </c>
      <c r="N82" s="14">
        <v>0.0</v>
      </c>
      <c r="O82" s="15"/>
      <c r="P82" s="16">
        <v>40245.702997685185</v>
      </c>
      <c r="Q82" s="10" t="s">
        <v>1226</v>
      </c>
      <c r="R82" s="11"/>
      <c r="S82" s="11"/>
      <c r="T82" s="11"/>
      <c r="U82" s="17" t="str">
        <f t="shared" ref="U82:U84" si="19">HYPERLINK("https://pbs.twimg.com/profile_images/1313266946046136334/mm-fo6c7.jpg","View")</f>
        <v>View</v>
      </c>
      <c r="V82" s="11"/>
      <c r="W82" s="11"/>
      <c r="X82" s="11"/>
      <c r="Y82" s="11"/>
      <c r="Z82" s="11"/>
    </row>
    <row r="83">
      <c r="A83" s="8">
        <v>44222.475370370375</v>
      </c>
      <c r="B83" s="9" t="str">
        <f t="shared" si="17"/>
        <v>@edu_cerda</v>
      </c>
      <c r="C83" s="10" t="s">
        <v>1482</v>
      </c>
      <c r="D83" s="10" t="s">
        <v>1530</v>
      </c>
      <c r="E83" s="9" t="str">
        <f>HYPERLINK("https://twitter.com/edu_cerda/status/1354148232482484230","1354148232482484230")</f>
        <v>1354148232482484230</v>
      </c>
      <c r="F83" s="11"/>
      <c r="G83" s="11"/>
      <c r="H83" s="11"/>
      <c r="I83" s="13">
        <v>0.0</v>
      </c>
      <c r="J83" s="13">
        <v>1.0</v>
      </c>
      <c r="K83" s="9" t="str">
        <f t="shared" si="18"/>
        <v>Twitter Web App</v>
      </c>
      <c r="L83" s="14">
        <v>958.0</v>
      </c>
      <c r="M83" s="14">
        <v>2705.0</v>
      </c>
      <c r="N83" s="14">
        <v>0.0</v>
      </c>
      <c r="O83" s="15"/>
      <c r="P83" s="16">
        <v>40245.702997685185</v>
      </c>
      <c r="Q83" s="10" t="s">
        <v>1226</v>
      </c>
      <c r="R83" s="11"/>
      <c r="S83" s="11"/>
      <c r="T83" s="11"/>
      <c r="U83" s="17" t="str">
        <f t="shared" si="19"/>
        <v>View</v>
      </c>
      <c r="V83" s="11"/>
      <c r="W83" s="11"/>
      <c r="X83" s="11"/>
      <c r="Y83" s="11"/>
      <c r="Z83" s="11"/>
    </row>
    <row r="84">
      <c r="A84" s="8">
        <v>44222.474375000005</v>
      </c>
      <c r="B84" s="9" t="str">
        <f t="shared" si="17"/>
        <v>@edu_cerda</v>
      </c>
      <c r="C84" s="10" t="s">
        <v>1482</v>
      </c>
      <c r="D84" s="10" t="s">
        <v>1531</v>
      </c>
      <c r="E84" s="9" t="str">
        <f>HYPERLINK("https://twitter.com/edu_cerda/status/1354147871646482434","1354147871646482434")</f>
        <v>1354147871646482434</v>
      </c>
      <c r="F84" s="11"/>
      <c r="G84" s="11"/>
      <c r="H84" s="11"/>
      <c r="I84" s="13">
        <v>0.0</v>
      </c>
      <c r="J84" s="13">
        <v>9.0</v>
      </c>
      <c r="K84" s="9" t="str">
        <f t="shared" si="18"/>
        <v>Twitter Web App</v>
      </c>
      <c r="L84" s="14">
        <v>958.0</v>
      </c>
      <c r="M84" s="14">
        <v>2705.0</v>
      </c>
      <c r="N84" s="14">
        <v>0.0</v>
      </c>
      <c r="O84" s="15"/>
      <c r="P84" s="16">
        <v>40245.702997685185</v>
      </c>
      <c r="Q84" s="10" t="s">
        <v>1226</v>
      </c>
      <c r="R84" s="11"/>
      <c r="S84" s="11"/>
      <c r="T84" s="11"/>
      <c r="U84" s="17" t="str">
        <f t="shared" si="19"/>
        <v>View</v>
      </c>
      <c r="V84" s="11"/>
      <c r="W84" s="11"/>
      <c r="X84" s="11"/>
      <c r="Y84" s="11"/>
      <c r="Z84" s="11"/>
    </row>
    <row r="85">
      <c r="A85" s="8">
        <v>44222.47418981481</v>
      </c>
      <c r="B85" s="9" t="str">
        <f>HYPERLINK("https://twitter.com/Armand0_09","@Armand0_09")</f>
        <v>@Armand0_09</v>
      </c>
      <c r="C85" s="10" t="s">
        <v>1532</v>
      </c>
      <c r="D85" s="10" t="s">
        <v>1533</v>
      </c>
      <c r="E85" s="9" t="str">
        <f>HYPERLINK("https://twitter.com/Armand0_09/status/1354147807263813632","1354147807263813632")</f>
        <v>1354147807263813632</v>
      </c>
      <c r="F85" s="11"/>
      <c r="G85" s="12" t="s">
        <v>1534</v>
      </c>
      <c r="H85" s="11"/>
      <c r="I85" s="13">
        <v>0.0</v>
      </c>
      <c r="J85" s="13">
        <v>2.0</v>
      </c>
      <c r="K85" s="9" t="str">
        <f>HYPERLINK("http://twitter.com/download/iphone","Twitter for iPhone")</f>
        <v>Twitter for iPhone</v>
      </c>
      <c r="L85" s="14">
        <v>22.0</v>
      </c>
      <c r="M85" s="14">
        <v>29.0</v>
      </c>
      <c r="N85" s="14">
        <v>0.0</v>
      </c>
      <c r="O85" s="15"/>
      <c r="P85" s="16">
        <v>42204.53064814815</v>
      </c>
      <c r="Q85" s="11"/>
      <c r="R85" s="10" t="s">
        <v>1535</v>
      </c>
      <c r="S85" s="11"/>
      <c r="T85" s="11"/>
      <c r="U85" s="17" t="str">
        <f>HYPERLINK("https://pbs.twimg.com/profile_images/1346787326043688962/7g2tBhek.jpg","View")</f>
        <v>View</v>
      </c>
      <c r="V85" s="11"/>
      <c r="W85" s="11"/>
      <c r="X85" s="11"/>
      <c r="Y85" s="11"/>
      <c r="Z85" s="11"/>
    </row>
    <row r="86">
      <c r="A86" s="8">
        <v>44222.47373842592</v>
      </c>
      <c r="B86" s="9" t="str">
        <f>HYPERLINK("https://twitter.com/edu_cerda","@edu_cerda")</f>
        <v>@edu_cerda</v>
      </c>
      <c r="C86" s="10" t="s">
        <v>1482</v>
      </c>
      <c r="D86" s="10" t="s">
        <v>1536</v>
      </c>
      <c r="E86" s="9" t="str">
        <f>HYPERLINK("https://twitter.com/edu_cerda/status/1354147643111436289","1354147643111436289")</f>
        <v>1354147643111436289</v>
      </c>
      <c r="F86" s="11"/>
      <c r="G86" s="11"/>
      <c r="H86" s="11"/>
      <c r="I86" s="13">
        <v>1.0</v>
      </c>
      <c r="J86" s="13">
        <v>12.0</v>
      </c>
      <c r="K86" s="9" t="str">
        <f>HYPERLINK("https://mobile.twitter.com","Twitter Web App")</f>
        <v>Twitter Web App</v>
      </c>
      <c r="L86" s="14">
        <v>958.0</v>
      </c>
      <c r="M86" s="14">
        <v>2705.0</v>
      </c>
      <c r="N86" s="14">
        <v>0.0</v>
      </c>
      <c r="O86" s="15"/>
      <c r="P86" s="16">
        <v>40245.702997685185</v>
      </c>
      <c r="Q86" s="10" t="s">
        <v>1226</v>
      </c>
      <c r="R86" s="11"/>
      <c r="S86" s="11"/>
      <c r="T86" s="11"/>
      <c r="U86" s="17" t="str">
        <f>HYPERLINK("https://pbs.twimg.com/profile_images/1313266946046136334/mm-fo6c7.jpg","View")</f>
        <v>View</v>
      </c>
      <c r="V86" s="11"/>
      <c r="W86" s="11"/>
      <c r="X86" s="11"/>
      <c r="Y86" s="11"/>
      <c r="Z86" s="11"/>
    </row>
    <row r="87">
      <c r="A87" s="8">
        <v>44222.47298611111</v>
      </c>
      <c r="B87" s="9" t="str">
        <f>HYPERLINK("https://twitter.com/dragonputon","@dragonputon")</f>
        <v>@dragonputon</v>
      </c>
      <c r="C87" s="10" t="s">
        <v>1537</v>
      </c>
      <c r="D87" s="10" t="s">
        <v>1538</v>
      </c>
      <c r="E87" s="9" t="str">
        <f>HYPERLINK("https://twitter.com/dragonputon/status/1354147371446370305","1354147371446370305")</f>
        <v>1354147371446370305</v>
      </c>
      <c r="F87" s="11"/>
      <c r="G87" s="11"/>
      <c r="H87" s="11"/>
      <c r="I87" s="13">
        <v>0.0</v>
      </c>
      <c r="J87" s="13">
        <v>4.0</v>
      </c>
      <c r="K87" s="9" t="str">
        <f>HYPERLINK("http://twitter.com/download/android","Twitter for Android")</f>
        <v>Twitter for Android</v>
      </c>
      <c r="L87" s="14">
        <v>40.0</v>
      </c>
      <c r="M87" s="14">
        <v>170.0</v>
      </c>
      <c r="N87" s="14">
        <v>0.0</v>
      </c>
      <c r="O87" s="15"/>
      <c r="P87" s="16">
        <v>43530.36334490741</v>
      </c>
      <c r="Q87" s="10" t="s">
        <v>1539</v>
      </c>
      <c r="R87" s="10" t="s">
        <v>1540</v>
      </c>
      <c r="S87" s="12" t="s">
        <v>1541</v>
      </c>
      <c r="T87" s="11"/>
      <c r="U87" s="17" t="str">
        <f>HYPERLINK("https://pbs.twimg.com/profile_images/1347661965020246016/cQhEnh3E.jpg","View")</f>
        <v>View</v>
      </c>
      <c r="V87" s="11"/>
      <c r="W87" s="11"/>
      <c r="X87" s="11"/>
      <c r="Y87" s="11"/>
      <c r="Z87" s="11"/>
    </row>
    <row r="88">
      <c r="A88" s="8">
        <v>44222.47231481482</v>
      </c>
      <c r="B88" s="9" t="str">
        <f>HYPERLINK("https://twitter.com/edu_cerda","@edu_cerda")</f>
        <v>@edu_cerda</v>
      </c>
      <c r="C88" s="10" t="s">
        <v>1482</v>
      </c>
      <c r="D88" s="10" t="s">
        <v>1542</v>
      </c>
      <c r="E88" s="9" t="str">
        <f>HYPERLINK("https://twitter.com/edu_cerda/status/1354147126461259778","1354147126461259778")</f>
        <v>1354147126461259778</v>
      </c>
      <c r="F88" s="11"/>
      <c r="G88" s="11"/>
      <c r="H88" s="11"/>
      <c r="I88" s="13">
        <v>0.0</v>
      </c>
      <c r="J88" s="13">
        <v>7.0</v>
      </c>
      <c r="K88" s="9" t="str">
        <f>HYPERLINK("https://mobile.twitter.com","Twitter Web App")</f>
        <v>Twitter Web App</v>
      </c>
      <c r="L88" s="14">
        <v>958.0</v>
      </c>
      <c r="M88" s="14">
        <v>2705.0</v>
      </c>
      <c r="N88" s="14">
        <v>0.0</v>
      </c>
      <c r="O88" s="15"/>
      <c r="P88" s="16">
        <v>40245.702997685185</v>
      </c>
      <c r="Q88" s="10" t="s">
        <v>1226</v>
      </c>
      <c r="R88" s="11"/>
      <c r="S88" s="11"/>
      <c r="T88" s="11"/>
      <c r="U88" s="17" t="str">
        <f>HYPERLINK("https://pbs.twimg.com/profile_images/1313266946046136334/mm-fo6c7.jpg","View")</f>
        <v>View</v>
      </c>
      <c r="V88" s="11"/>
      <c r="W88" s="11"/>
      <c r="X88" s="11"/>
      <c r="Y88" s="11"/>
      <c r="Z88" s="11"/>
    </row>
    <row r="89">
      <c r="A89" s="8">
        <v>44222.47217592593</v>
      </c>
      <c r="B89" s="9" t="str">
        <f>HYPERLINK("https://twitter.com/cerda_02","@cerda_02")</f>
        <v>@cerda_02</v>
      </c>
      <c r="C89" s="10" t="s">
        <v>1464</v>
      </c>
      <c r="D89" s="10" t="s">
        <v>1543</v>
      </c>
      <c r="E89" s="9" t="str">
        <f>HYPERLINK("https://twitter.com/cerda_02/status/1354147075919851521","1354147075919851521")</f>
        <v>1354147075919851521</v>
      </c>
      <c r="F89" s="11"/>
      <c r="G89" s="11"/>
      <c r="H89" s="11"/>
      <c r="I89" s="13">
        <v>0.0</v>
      </c>
      <c r="J89" s="13">
        <v>0.0</v>
      </c>
      <c r="K89" s="9" t="str">
        <f>HYPERLINK("http://twitter.com/download/iphone","Twitter for iPhone")</f>
        <v>Twitter for iPhone</v>
      </c>
      <c r="L89" s="14">
        <v>19.0</v>
      </c>
      <c r="M89" s="14">
        <v>66.0</v>
      </c>
      <c r="N89" s="14">
        <v>0.0</v>
      </c>
      <c r="O89" s="15"/>
      <c r="P89" s="16">
        <v>44194.77627314815</v>
      </c>
      <c r="Q89" s="11"/>
      <c r="R89" s="10" t="s">
        <v>1468</v>
      </c>
      <c r="S89" s="11"/>
      <c r="T89" s="11"/>
      <c r="U89" s="17" t="str">
        <f>HYPERLINK("https://pbs.twimg.com/profile_images/1351244570617655306/7wSinEcT.jpg","View")</f>
        <v>View</v>
      </c>
      <c r="V89" s="11"/>
      <c r="W89" s="11"/>
      <c r="X89" s="11"/>
      <c r="Y89" s="11"/>
      <c r="Z89" s="11"/>
    </row>
    <row r="90">
      <c r="A90" s="8">
        <v>44222.471030092594</v>
      </c>
      <c r="B90" s="9" t="str">
        <f>HYPERLINK("https://twitter.com/Aguss_cerda","@Aguss_cerda")</f>
        <v>@Aguss_cerda</v>
      </c>
      <c r="C90" s="10" t="s">
        <v>1544</v>
      </c>
      <c r="D90" s="10" t="s">
        <v>1545</v>
      </c>
      <c r="E90" s="9" t="str">
        <f>HYPERLINK("https://twitter.com/Aguss_cerda/status/1354146662453833731","1354146662453833731")</f>
        <v>1354146662453833731</v>
      </c>
      <c r="F90" s="12" t="s">
        <v>1546</v>
      </c>
      <c r="G90" s="11"/>
      <c r="H90" s="11"/>
      <c r="I90" s="13">
        <v>0.0</v>
      </c>
      <c r="J90" s="13">
        <v>0.0</v>
      </c>
      <c r="K90" s="9" t="str">
        <f>HYPERLINK("http://twitter.com/download/android","Twitter for Android")</f>
        <v>Twitter for Android</v>
      </c>
      <c r="L90" s="14">
        <v>482.0</v>
      </c>
      <c r="M90" s="14">
        <v>224.0</v>
      </c>
      <c r="N90" s="14">
        <v>0.0</v>
      </c>
      <c r="O90" s="15"/>
      <c r="P90" s="16">
        <v>42637.61458333333</v>
      </c>
      <c r="Q90" s="10" t="s">
        <v>1547</v>
      </c>
      <c r="R90" s="10" t="s">
        <v>1548</v>
      </c>
      <c r="S90" s="11"/>
      <c r="T90" s="11"/>
      <c r="U90" s="17" t="str">
        <f>HYPERLINK("https://pbs.twimg.com/profile_images/1335804108595466242/vG9Ll7VG.jpg","View")</f>
        <v>View</v>
      </c>
      <c r="V90" s="11"/>
      <c r="W90" s="11"/>
      <c r="X90" s="11"/>
      <c r="Y90" s="11"/>
      <c r="Z90" s="11"/>
    </row>
    <row r="91">
      <c r="A91" s="8">
        <v>44222.47083333333</v>
      </c>
      <c r="B91" s="9" t="str">
        <f>HYPERLINK("https://twitter.com/edu_cerda","@edu_cerda")</f>
        <v>@edu_cerda</v>
      </c>
      <c r="C91" s="10" t="s">
        <v>1482</v>
      </c>
      <c r="D91" s="10" t="s">
        <v>1549</v>
      </c>
      <c r="E91" s="9" t="str">
        <f>HYPERLINK("https://twitter.com/edu_cerda/status/1354146588936073217","1354146588936073217")</f>
        <v>1354146588936073217</v>
      </c>
      <c r="F91" s="11"/>
      <c r="G91" s="11"/>
      <c r="H91" s="11"/>
      <c r="I91" s="13">
        <v>0.0</v>
      </c>
      <c r="J91" s="13">
        <v>4.0</v>
      </c>
      <c r="K91" s="9" t="str">
        <f t="shared" ref="K91:K94" si="20">HYPERLINK("https://mobile.twitter.com","Twitter Web App")</f>
        <v>Twitter Web App</v>
      </c>
      <c r="L91" s="14">
        <v>958.0</v>
      </c>
      <c r="M91" s="14">
        <v>2705.0</v>
      </c>
      <c r="N91" s="14">
        <v>0.0</v>
      </c>
      <c r="O91" s="15"/>
      <c r="P91" s="16">
        <v>40245.702997685185</v>
      </c>
      <c r="Q91" s="10" t="s">
        <v>1226</v>
      </c>
      <c r="R91" s="11"/>
      <c r="S91" s="11"/>
      <c r="T91" s="11"/>
      <c r="U91" s="17" t="str">
        <f>HYPERLINK("https://pbs.twimg.com/profile_images/1313266946046136334/mm-fo6c7.jpg","View")</f>
        <v>View</v>
      </c>
      <c r="V91" s="11"/>
      <c r="W91" s="11"/>
      <c r="X91" s="11"/>
      <c r="Y91" s="11"/>
      <c r="Z91" s="11"/>
    </row>
    <row r="92">
      <c r="A92" s="8">
        <v>44222.470671296294</v>
      </c>
      <c r="B92" s="9" t="str">
        <f>HYPERLINK("https://twitter.com/nekrori","@nekrori")</f>
        <v>@nekrori</v>
      </c>
      <c r="C92" s="10" t="s">
        <v>1550</v>
      </c>
      <c r="D92" s="10" t="s">
        <v>1551</v>
      </c>
      <c r="E92" s="9" t="str">
        <f>HYPERLINK("https://twitter.com/nekrori/status/1354146530358403072","1354146530358403072")</f>
        <v>1354146530358403072</v>
      </c>
      <c r="F92" s="12" t="s">
        <v>1552</v>
      </c>
      <c r="G92" s="12" t="s">
        <v>1553</v>
      </c>
      <c r="H92" s="11"/>
      <c r="I92" s="13">
        <v>0.0</v>
      </c>
      <c r="J92" s="13">
        <v>2.0</v>
      </c>
      <c r="K92" s="9" t="str">
        <f t="shared" si="20"/>
        <v>Twitter Web App</v>
      </c>
      <c r="L92" s="14">
        <v>504.0</v>
      </c>
      <c r="M92" s="14">
        <v>779.0</v>
      </c>
      <c r="N92" s="14">
        <v>33.0</v>
      </c>
      <c r="O92" s="15"/>
      <c r="P92" s="16">
        <v>43319.250497685185</v>
      </c>
      <c r="Q92" s="10" t="s">
        <v>1554</v>
      </c>
      <c r="R92" s="10" t="s">
        <v>1555</v>
      </c>
      <c r="S92" s="11"/>
      <c r="T92" s="11"/>
      <c r="U92" s="17" t="str">
        <f>HYPERLINK("https://pbs.twimg.com/profile_images/1329889034987073542/88CvE35s.jpg","View")</f>
        <v>View</v>
      </c>
      <c r="V92" s="11"/>
      <c r="W92" s="11"/>
      <c r="X92" s="11"/>
      <c r="Y92" s="11"/>
      <c r="Z92" s="11"/>
    </row>
    <row r="93">
      <c r="A93" s="8">
        <v>44222.470185185186</v>
      </c>
      <c r="B93" s="9" t="str">
        <f t="shared" ref="B93:B94" si="21">HYPERLINK("https://twitter.com/edu_cerda","@edu_cerda")</f>
        <v>@edu_cerda</v>
      </c>
      <c r="C93" s="10" t="s">
        <v>1482</v>
      </c>
      <c r="D93" s="10" t="s">
        <v>1556</v>
      </c>
      <c r="E93" s="9" t="str">
        <f>HYPERLINK("https://twitter.com/edu_cerda/status/1354146354839363592","1354146354839363592")</f>
        <v>1354146354839363592</v>
      </c>
      <c r="F93" s="11"/>
      <c r="G93" s="11"/>
      <c r="H93" s="11"/>
      <c r="I93" s="13">
        <v>0.0</v>
      </c>
      <c r="J93" s="13">
        <v>2.0</v>
      </c>
      <c r="K93" s="9" t="str">
        <f t="shared" si="20"/>
        <v>Twitter Web App</v>
      </c>
      <c r="L93" s="14">
        <v>958.0</v>
      </c>
      <c r="M93" s="14">
        <v>2705.0</v>
      </c>
      <c r="N93" s="14">
        <v>0.0</v>
      </c>
      <c r="O93" s="15"/>
      <c r="P93" s="16">
        <v>40245.702997685185</v>
      </c>
      <c r="Q93" s="10" t="s">
        <v>1226</v>
      </c>
      <c r="R93" s="11"/>
      <c r="S93" s="11"/>
      <c r="T93" s="11"/>
      <c r="U93" s="17" t="str">
        <f t="shared" ref="U93:U94" si="22">HYPERLINK("https://pbs.twimg.com/profile_images/1313266946046136334/mm-fo6c7.jpg","View")</f>
        <v>View</v>
      </c>
      <c r="V93" s="11"/>
      <c r="W93" s="11"/>
      <c r="X93" s="11"/>
      <c r="Y93" s="11"/>
      <c r="Z93" s="11"/>
    </row>
    <row r="94">
      <c r="A94" s="8">
        <v>44222.46983796296</v>
      </c>
      <c r="B94" s="9" t="str">
        <f t="shared" si="21"/>
        <v>@edu_cerda</v>
      </c>
      <c r="C94" s="10" t="s">
        <v>1482</v>
      </c>
      <c r="D94" s="10" t="s">
        <v>1557</v>
      </c>
      <c r="E94" s="9" t="str">
        <f>HYPERLINK("https://twitter.com/edu_cerda/status/1354146229219860480","1354146229219860480")</f>
        <v>1354146229219860480</v>
      </c>
      <c r="F94" s="11"/>
      <c r="G94" s="11"/>
      <c r="H94" s="11"/>
      <c r="I94" s="13">
        <v>0.0</v>
      </c>
      <c r="J94" s="13">
        <v>5.0</v>
      </c>
      <c r="K94" s="9" t="str">
        <f t="shared" si="20"/>
        <v>Twitter Web App</v>
      </c>
      <c r="L94" s="14">
        <v>958.0</v>
      </c>
      <c r="M94" s="14">
        <v>2705.0</v>
      </c>
      <c r="N94" s="14">
        <v>0.0</v>
      </c>
      <c r="O94" s="15"/>
      <c r="P94" s="16">
        <v>40245.702997685185</v>
      </c>
      <c r="Q94" s="10" t="s">
        <v>1226</v>
      </c>
      <c r="R94" s="11"/>
      <c r="S94" s="11"/>
      <c r="T94" s="11"/>
      <c r="U94" s="17" t="str">
        <f t="shared" si="22"/>
        <v>View</v>
      </c>
      <c r="V94" s="11"/>
      <c r="W94" s="11"/>
      <c r="X94" s="11"/>
      <c r="Y94" s="11"/>
      <c r="Z94" s="11"/>
    </row>
    <row r="95">
      <c r="A95" s="8">
        <v>44222.46978009259</v>
      </c>
      <c r="B95" s="9" t="str">
        <f>HYPERLINK("https://twitter.com/Catrachito5est1","@Catrachito5est1")</f>
        <v>@Catrachito5est1</v>
      </c>
      <c r="C95" s="10" t="s">
        <v>1558</v>
      </c>
      <c r="D95" s="10" t="s">
        <v>1559</v>
      </c>
      <c r="E95" s="9" t="str">
        <f>HYPERLINK("https://twitter.com/Catrachito5est1/status/1354146208634331137","1354146208634331137")</f>
        <v>1354146208634331137</v>
      </c>
      <c r="F95" s="11"/>
      <c r="G95" s="11"/>
      <c r="H95" s="11"/>
      <c r="I95" s="13">
        <v>0.0</v>
      </c>
      <c r="J95" s="13">
        <v>5.0</v>
      </c>
      <c r="K95" s="9" t="str">
        <f>HYPERLINK("http://twitter.com/download/android","Twitter for Android")</f>
        <v>Twitter for Android</v>
      </c>
      <c r="L95" s="14">
        <v>1160.0</v>
      </c>
      <c r="M95" s="14">
        <v>1008.0</v>
      </c>
      <c r="N95" s="14">
        <v>0.0</v>
      </c>
      <c r="O95" s="15"/>
      <c r="P95" s="16">
        <v>43818.478993055556</v>
      </c>
      <c r="Q95" s="10" t="s">
        <v>1560</v>
      </c>
      <c r="R95" s="10" t="s">
        <v>1561</v>
      </c>
      <c r="S95" s="11"/>
      <c r="T95" s="11"/>
      <c r="U95" s="17" t="str">
        <f>HYPERLINK("https://pbs.twimg.com/profile_images/1350664981860261888/JRCA_PyH.jpg","View")</f>
        <v>View</v>
      </c>
      <c r="V95" s="11"/>
      <c r="W95" s="11"/>
      <c r="X95" s="11"/>
      <c r="Y95" s="11"/>
      <c r="Z95" s="11"/>
    </row>
    <row r="96">
      <c r="A96" s="8">
        <v>44222.4697337963</v>
      </c>
      <c r="B96" s="9" t="str">
        <f>HYPERLINK("https://twitter.com/nathsjoya","@nathsjoya")</f>
        <v>@nathsjoya</v>
      </c>
      <c r="C96" s="10" t="s">
        <v>1562</v>
      </c>
      <c r="D96" s="10" t="s">
        <v>1563</v>
      </c>
      <c r="E96" s="9" t="str">
        <f>HYPERLINK("https://twitter.com/nathsjoya/status/1354146191177621504","1354146191177621504")</f>
        <v>1354146191177621504</v>
      </c>
      <c r="F96" s="11"/>
      <c r="G96" s="11"/>
      <c r="H96" s="11"/>
      <c r="I96" s="13">
        <v>0.0</v>
      </c>
      <c r="J96" s="13">
        <v>2.0</v>
      </c>
      <c r="K96" s="9" t="str">
        <f>HYPERLINK("http://twitter.com/download/iphone","Twitter for iPhone")</f>
        <v>Twitter for iPhone</v>
      </c>
      <c r="L96" s="14">
        <v>499.0</v>
      </c>
      <c r="M96" s="14">
        <v>1053.0</v>
      </c>
      <c r="N96" s="14">
        <v>0.0</v>
      </c>
      <c r="O96" s="15"/>
      <c r="P96" s="16">
        <v>40547.44274305555</v>
      </c>
      <c r="Q96" s="10" t="s">
        <v>1564</v>
      </c>
      <c r="R96" s="10" t="s">
        <v>1565</v>
      </c>
      <c r="S96" s="12" t="s">
        <v>1566</v>
      </c>
      <c r="T96" s="11"/>
      <c r="U96" s="17" t="str">
        <f>HYPERLINK("https://pbs.twimg.com/profile_images/1354157498526265346/XddZnRgf.jpg","View")</f>
        <v>View</v>
      </c>
      <c r="V96" s="11"/>
      <c r="W96" s="11"/>
      <c r="X96" s="11"/>
      <c r="Y96" s="11"/>
      <c r="Z96" s="11"/>
    </row>
    <row r="97">
      <c r="A97" s="8">
        <v>44222.469456018516</v>
      </c>
      <c r="B97" s="9" t="str">
        <f>HYPERLINK("https://twitter.com/MariaMercromina","@MariaMercromina")</f>
        <v>@MariaMercromina</v>
      </c>
      <c r="C97" s="10" t="s">
        <v>1567</v>
      </c>
      <c r="D97" s="10" t="s">
        <v>1568</v>
      </c>
      <c r="E97" s="9" t="str">
        <f>HYPERLINK("https://twitter.com/MariaMercromina/status/1354146092355563523","1354146092355563523")</f>
        <v>1354146092355563523</v>
      </c>
      <c r="F97" s="12" t="s">
        <v>1569</v>
      </c>
      <c r="G97" s="11"/>
      <c r="H97" s="11"/>
      <c r="I97" s="13">
        <v>3.0</v>
      </c>
      <c r="J97" s="13">
        <v>23.0</v>
      </c>
      <c r="K97" s="9" t="str">
        <f>HYPERLINK("https://mobile.twitter.com","Twitter Web App")</f>
        <v>Twitter Web App</v>
      </c>
      <c r="L97" s="14">
        <v>26272.0</v>
      </c>
      <c r="M97" s="14">
        <v>1418.0</v>
      </c>
      <c r="N97" s="14">
        <v>307.0</v>
      </c>
      <c r="O97" s="15"/>
      <c r="P97" s="16">
        <v>40641.15782407408</v>
      </c>
      <c r="Q97" s="11"/>
      <c r="R97" s="10" t="s">
        <v>1570</v>
      </c>
      <c r="S97" s="12" t="s">
        <v>1571</v>
      </c>
      <c r="T97" s="11"/>
      <c r="U97" s="17" t="str">
        <f>HYPERLINK("https://pbs.twimg.com/profile_images/1324417259138355200/K45t7Lxy.jpg","View")</f>
        <v>View</v>
      </c>
      <c r="V97" s="11"/>
      <c r="W97" s="11"/>
      <c r="X97" s="11"/>
      <c r="Y97" s="11"/>
      <c r="Z97" s="11"/>
    </row>
    <row r="98">
      <c r="A98" s="8">
        <v>44222.469201388885</v>
      </c>
      <c r="B98" s="9" t="str">
        <f>HYPERLINK("https://twitter.com/Aguss_cerda","@Aguss_cerda")</f>
        <v>@Aguss_cerda</v>
      </c>
      <c r="C98" s="10" t="s">
        <v>1544</v>
      </c>
      <c r="D98" s="10" t="s">
        <v>1572</v>
      </c>
      <c r="E98" s="9" t="str">
        <f>HYPERLINK("https://twitter.com/Aguss_cerda/status/1354145998831050758","1354145998831050758")</f>
        <v>1354145998831050758</v>
      </c>
      <c r="F98" s="11"/>
      <c r="G98" s="11"/>
      <c r="H98" s="11"/>
      <c r="I98" s="13">
        <v>0.0</v>
      </c>
      <c r="J98" s="13">
        <v>0.0</v>
      </c>
      <c r="K98" s="9" t="str">
        <f t="shared" ref="K98:K99" si="23">HYPERLINK("http://twitter.com/download/android","Twitter for Android")</f>
        <v>Twitter for Android</v>
      </c>
      <c r="L98" s="14">
        <v>482.0</v>
      </c>
      <c r="M98" s="14">
        <v>224.0</v>
      </c>
      <c r="N98" s="14">
        <v>0.0</v>
      </c>
      <c r="O98" s="15"/>
      <c r="P98" s="16">
        <v>42637.61458333333</v>
      </c>
      <c r="Q98" s="10" t="s">
        <v>1547</v>
      </c>
      <c r="R98" s="10" t="s">
        <v>1548</v>
      </c>
      <c r="S98" s="11"/>
      <c r="T98" s="11"/>
      <c r="U98" s="17" t="str">
        <f>HYPERLINK("https://pbs.twimg.com/profile_images/1335804108595466242/vG9Ll7VG.jpg","View")</f>
        <v>View</v>
      </c>
      <c r="V98" s="11"/>
      <c r="W98" s="11"/>
      <c r="X98" s="11"/>
      <c r="Y98" s="11"/>
      <c r="Z98" s="11"/>
    </row>
    <row r="99">
      <c r="A99" s="8">
        <v>44222.46607638889</v>
      </c>
      <c r="B99" s="9" t="str">
        <f>HYPERLINK("https://twitter.com/maartalp_","@maartalp_")</f>
        <v>@maartalp_</v>
      </c>
      <c r="C99" s="10" t="s">
        <v>1573</v>
      </c>
      <c r="D99" s="10" t="s">
        <v>1574</v>
      </c>
      <c r="E99" s="9" t="str">
        <f>HYPERLINK("https://twitter.com/maartalp_/status/1354144867807604738","1354144867807604738")</f>
        <v>1354144867807604738</v>
      </c>
      <c r="F99" s="11"/>
      <c r="G99" s="12" t="s">
        <v>1575</v>
      </c>
      <c r="H99" s="11"/>
      <c r="I99" s="13">
        <v>0.0</v>
      </c>
      <c r="J99" s="13">
        <v>3.0</v>
      </c>
      <c r="K99" s="9" t="str">
        <f t="shared" si="23"/>
        <v>Twitter for Android</v>
      </c>
      <c r="L99" s="14">
        <v>959.0</v>
      </c>
      <c r="M99" s="14">
        <v>252.0</v>
      </c>
      <c r="N99" s="14">
        <v>0.0</v>
      </c>
      <c r="O99" s="15"/>
      <c r="P99" s="16">
        <v>43560.262465277774</v>
      </c>
      <c r="Q99" s="10" t="s">
        <v>1576</v>
      </c>
      <c r="R99" s="10" t="s">
        <v>1577</v>
      </c>
      <c r="S99" s="12" t="s">
        <v>1578</v>
      </c>
      <c r="T99" s="11"/>
      <c r="U99" s="17" t="str">
        <f>HYPERLINK("https://pbs.twimg.com/profile_images/1346852553724747776/00trYnsd.jpg","View")</f>
        <v>View</v>
      </c>
      <c r="V99" s="11"/>
      <c r="W99" s="11"/>
      <c r="X99" s="11"/>
      <c r="Y99" s="11"/>
      <c r="Z99" s="11"/>
    </row>
    <row r="100">
      <c r="A100" s="8">
        <v>44222.46460648148</v>
      </c>
      <c r="B100" s="9" t="str">
        <f>HYPERLINK("https://twitter.com/agaashe__","@agaashe__")</f>
        <v>@agaashe__</v>
      </c>
      <c r="C100" s="10" t="s">
        <v>1579</v>
      </c>
      <c r="D100" s="10" t="s">
        <v>1580</v>
      </c>
      <c r="E100" s="9" t="str">
        <f>HYPERLINK("https://twitter.com/agaashe__/status/1354144333344210949","1354144333344210949")</f>
        <v>1354144333344210949</v>
      </c>
      <c r="F100" s="11"/>
      <c r="G100" s="11"/>
      <c r="H100" s="11"/>
      <c r="I100" s="13">
        <v>0.0</v>
      </c>
      <c r="J100" s="13">
        <v>0.0</v>
      </c>
      <c r="K100" s="9" t="str">
        <f>HYPERLINK("http://twitter.com/download/iphone","Twitter for iPhone")</f>
        <v>Twitter for iPhone</v>
      </c>
      <c r="L100" s="14">
        <v>170.0</v>
      </c>
      <c r="M100" s="14">
        <v>182.0</v>
      </c>
      <c r="N100" s="14">
        <v>6.0</v>
      </c>
      <c r="O100" s="15"/>
      <c r="P100" s="16">
        <v>43386.0522337963</v>
      </c>
      <c r="Q100" s="10" t="s">
        <v>1581</v>
      </c>
      <c r="R100" s="10" t="s">
        <v>1582</v>
      </c>
      <c r="S100" s="11"/>
      <c r="T100" s="11"/>
      <c r="U100" s="17" t="str">
        <f>HYPERLINK("https://pbs.twimg.com/profile_images/1352505836329967619/Wz0W3x0j.jpg","View")</f>
        <v>View</v>
      </c>
      <c r="V100" s="11"/>
      <c r="W100" s="11"/>
      <c r="X100" s="11"/>
      <c r="Y100" s="11"/>
      <c r="Z100" s="11"/>
    </row>
    <row r="101">
      <c r="A101" s="8">
        <v>44222.46445601852</v>
      </c>
      <c r="B101" s="9" t="str">
        <f>HYPERLINK("https://twitter.com/feeudp","@feeudp")</f>
        <v>@feeudp</v>
      </c>
      <c r="C101" s="10" t="s">
        <v>1583</v>
      </c>
      <c r="D101" s="10" t="s">
        <v>1584</v>
      </c>
      <c r="E101" s="9" t="str">
        <f>HYPERLINK("https://twitter.com/feeudp/status/1354144278394638338","1354144278394638338")</f>
        <v>1354144278394638338</v>
      </c>
      <c r="F101" s="12" t="s">
        <v>1585</v>
      </c>
      <c r="G101" s="11"/>
      <c r="H101" s="11"/>
      <c r="I101" s="13">
        <v>0.0</v>
      </c>
      <c r="J101" s="13">
        <v>0.0</v>
      </c>
      <c r="K101" s="9" t="str">
        <f>HYPERLINK("https://about.twitter.com/products/tweetdeck","TweetDeck")</f>
        <v>TweetDeck</v>
      </c>
      <c r="L101" s="14">
        <v>1291.0</v>
      </c>
      <c r="M101" s="14">
        <v>477.0</v>
      </c>
      <c r="N101" s="14">
        <v>35.0</v>
      </c>
      <c r="O101" s="15"/>
      <c r="P101" s="16">
        <v>40248.5146412037</v>
      </c>
      <c r="Q101" s="10" t="s">
        <v>1586</v>
      </c>
      <c r="R101" s="10" t="s">
        <v>1587</v>
      </c>
      <c r="S101" s="12" t="s">
        <v>1588</v>
      </c>
      <c r="T101" s="11"/>
      <c r="U101" s="17" t="str">
        <f>HYPERLINK("https://pbs.twimg.com/profile_images/1296912664132820994/CgAuDKiQ.jpg","View")</f>
        <v>View</v>
      </c>
      <c r="V101" s="11"/>
      <c r="W101" s="11"/>
      <c r="X101" s="11"/>
      <c r="Y101" s="11"/>
      <c r="Z101" s="11"/>
    </row>
    <row r="102">
      <c r="A102" s="8">
        <v>44222.464050925926</v>
      </c>
      <c r="B102" s="9" t="str">
        <f>HYPERLINK("https://twitter.com/edu_cerda","@edu_cerda")</f>
        <v>@edu_cerda</v>
      </c>
      <c r="C102" s="10" t="s">
        <v>1482</v>
      </c>
      <c r="D102" s="10" t="s">
        <v>1589</v>
      </c>
      <c r="E102" s="9" t="str">
        <f>HYPERLINK("https://twitter.com/edu_cerda/status/1354144131778547714","1354144131778547714")</f>
        <v>1354144131778547714</v>
      </c>
      <c r="F102" s="11"/>
      <c r="G102" s="11"/>
      <c r="H102" s="11"/>
      <c r="I102" s="13">
        <v>0.0</v>
      </c>
      <c r="J102" s="13">
        <v>6.0</v>
      </c>
      <c r="K102" s="9" t="str">
        <f>HYPERLINK("https://mobile.twitter.com","Twitter Web App")</f>
        <v>Twitter Web App</v>
      </c>
      <c r="L102" s="14">
        <v>958.0</v>
      </c>
      <c r="M102" s="14">
        <v>2705.0</v>
      </c>
      <c r="N102" s="14">
        <v>0.0</v>
      </c>
      <c r="O102" s="15"/>
      <c r="P102" s="16">
        <v>40245.702997685185</v>
      </c>
      <c r="Q102" s="10" t="s">
        <v>1226</v>
      </c>
      <c r="R102" s="11"/>
      <c r="S102" s="11"/>
      <c r="T102" s="11"/>
      <c r="U102" s="17" t="str">
        <f>HYPERLINK("https://pbs.twimg.com/profile_images/1313266946046136334/mm-fo6c7.jpg","View")</f>
        <v>View</v>
      </c>
      <c r="V102" s="11"/>
      <c r="W102" s="11"/>
      <c r="X102" s="11"/>
      <c r="Y102" s="11"/>
      <c r="Z102" s="11"/>
    </row>
    <row r="103">
      <c r="A103" s="18"/>
      <c r="B103" s="11"/>
      <c r="C103" s="11"/>
      <c r="D103" s="11"/>
      <c r="E103" s="11"/>
      <c r="F103" s="11"/>
      <c r="G103" s="11"/>
      <c r="H103" s="11"/>
      <c r="I103" s="11"/>
      <c r="J103" s="11"/>
      <c r="K103" s="11"/>
      <c r="L103" s="15"/>
      <c r="M103" s="15"/>
      <c r="N103" s="15"/>
      <c r="O103" s="15"/>
      <c r="P103" s="15"/>
      <c r="Q103" s="11"/>
      <c r="R103" s="11"/>
      <c r="S103" s="11"/>
      <c r="T103" s="11"/>
      <c r="U103" s="15"/>
      <c r="V103" s="11"/>
      <c r="W103" s="11"/>
      <c r="X103" s="11"/>
      <c r="Y103" s="11"/>
      <c r="Z103" s="11"/>
    </row>
    <row r="104">
      <c r="A104" s="18"/>
      <c r="B104" s="11"/>
      <c r="C104" s="11"/>
      <c r="D104" s="11"/>
      <c r="E104" s="11"/>
      <c r="F104" s="11"/>
      <c r="G104" s="11"/>
      <c r="H104" s="11"/>
      <c r="I104" s="11"/>
      <c r="J104" s="11"/>
      <c r="K104" s="11"/>
      <c r="L104" s="15"/>
      <c r="M104" s="15"/>
      <c r="N104" s="15"/>
      <c r="O104" s="15"/>
      <c r="P104" s="15"/>
      <c r="Q104" s="11"/>
      <c r="R104" s="11"/>
      <c r="S104" s="11"/>
      <c r="T104" s="11"/>
      <c r="U104" s="15"/>
      <c r="V104" s="11"/>
      <c r="W104" s="11"/>
      <c r="X104" s="11"/>
      <c r="Y104" s="11"/>
      <c r="Z104" s="11"/>
    </row>
    <row r="105">
      <c r="A105" s="18"/>
      <c r="B105" s="11"/>
      <c r="C105" s="11"/>
      <c r="D105" s="11"/>
      <c r="E105" s="11"/>
      <c r="F105" s="11"/>
      <c r="G105" s="11"/>
      <c r="H105" s="11"/>
      <c r="I105" s="11"/>
      <c r="J105" s="11"/>
      <c r="K105" s="11"/>
      <c r="L105" s="15"/>
      <c r="M105" s="15"/>
      <c r="N105" s="15"/>
      <c r="O105" s="15"/>
      <c r="P105" s="15"/>
      <c r="Q105" s="11"/>
      <c r="R105" s="11"/>
      <c r="S105" s="11"/>
      <c r="T105" s="11"/>
      <c r="U105" s="15"/>
      <c r="V105" s="11"/>
      <c r="W105" s="11"/>
      <c r="X105" s="11"/>
      <c r="Y105" s="11"/>
      <c r="Z105" s="11"/>
    </row>
    <row r="106">
      <c r="A106" s="18"/>
      <c r="B106" s="11"/>
      <c r="C106" s="11"/>
      <c r="D106" s="11"/>
      <c r="E106" s="11"/>
      <c r="F106" s="11"/>
      <c r="G106" s="11"/>
      <c r="H106" s="11"/>
      <c r="I106" s="11"/>
      <c r="J106" s="11"/>
      <c r="K106" s="11"/>
      <c r="L106" s="15"/>
      <c r="M106" s="15"/>
      <c r="N106" s="15"/>
      <c r="O106" s="15"/>
      <c r="P106" s="15"/>
      <c r="Q106" s="11"/>
      <c r="R106" s="11"/>
      <c r="S106" s="11"/>
      <c r="T106" s="11"/>
      <c r="U106" s="15"/>
      <c r="V106" s="11"/>
      <c r="W106" s="11"/>
      <c r="X106" s="11"/>
      <c r="Y106" s="11"/>
      <c r="Z106" s="11"/>
    </row>
    <row r="107">
      <c r="A107" s="18"/>
      <c r="B107" s="11"/>
      <c r="C107" s="11"/>
      <c r="D107" s="11"/>
      <c r="E107" s="11"/>
      <c r="F107" s="11"/>
      <c r="G107" s="11"/>
      <c r="H107" s="11"/>
      <c r="I107" s="11"/>
      <c r="J107" s="11"/>
      <c r="K107" s="11"/>
      <c r="L107" s="15"/>
      <c r="M107" s="15"/>
      <c r="N107" s="15"/>
      <c r="O107" s="15"/>
      <c r="P107" s="15"/>
      <c r="Q107" s="11"/>
      <c r="R107" s="11"/>
      <c r="S107" s="11"/>
      <c r="T107" s="11"/>
      <c r="U107" s="15"/>
      <c r="V107" s="11"/>
      <c r="W107" s="11"/>
      <c r="X107" s="11"/>
      <c r="Y107" s="11"/>
      <c r="Z107" s="11"/>
    </row>
    <row r="108">
      <c r="A108" s="18"/>
      <c r="B108" s="11"/>
      <c r="C108" s="11"/>
      <c r="D108" s="11"/>
      <c r="E108" s="11"/>
      <c r="F108" s="11"/>
      <c r="G108" s="11"/>
      <c r="H108" s="11"/>
      <c r="I108" s="11"/>
      <c r="J108" s="11"/>
      <c r="K108" s="11"/>
      <c r="L108" s="15"/>
      <c r="M108" s="15"/>
      <c r="N108" s="15"/>
      <c r="O108" s="15"/>
      <c r="P108" s="15"/>
      <c r="Q108" s="11"/>
      <c r="R108" s="11"/>
      <c r="S108" s="11"/>
      <c r="T108" s="11"/>
      <c r="U108" s="15"/>
      <c r="V108" s="11"/>
      <c r="W108" s="11"/>
      <c r="X108" s="11"/>
      <c r="Y108" s="11"/>
      <c r="Z108" s="11"/>
    </row>
    <row r="109">
      <c r="A109" s="18"/>
      <c r="B109" s="11"/>
      <c r="C109" s="11"/>
      <c r="D109" s="11"/>
      <c r="E109" s="11"/>
      <c r="F109" s="11"/>
      <c r="G109" s="11"/>
      <c r="H109" s="11"/>
      <c r="I109" s="11"/>
      <c r="J109" s="11"/>
      <c r="K109" s="11"/>
      <c r="L109" s="15"/>
      <c r="M109" s="15"/>
      <c r="N109" s="15"/>
      <c r="O109" s="15"/>
      <c r="P109" s="15"/>
      <c r="Q109" s="11"/>
      <c r="R109" s="11"/>
      <c r="S109" s="11"/>
      <c r="T109" s="11"/>
      <c r="U109" s="15"/>
      <c r="V109" s="11"/>
      <c r="W109" s="11"/>
      <c r="X109" s="11"/>
      <c r="Y109" s="11"/>
      <c r="Z109" s="11"/>
    </row>
    <row r="110">
      <c r="A110" s="18"/>
      <c r="B110" s="11"/>
      <c r="C110" s="11"/>
      <c r="D110" s="11"/>
      <c r="E110" s="11"/>
      <c r="F110" s="11"/>
      <c r="G110" s="11"/>
      <c r="H110" s="11"/>
      <c r="I110" s="11"/>
      <c r="J110" s="11"/>
      <c r="K110" s="11"/>
      <c r="L110" s="15"/>
      <c r="M110" s="15"/>
      <c r="N110" s="15"/>
      <c r="O110" s="15"/>
      <c r="P110" s="15"/>
      <c r="Q110" s="11"/>
      <c r="R110" s="11"/>
      <c r="S110" s="11"/>
      <c r="T110" s="11"/>
      <c r="U110" s="15"/>
      <c r="V110" s="11"/>
      <c r="W110" s="11"/>
      <c r="X110" s="11"/>
      <c r="Y110" s="11"/>
      <c r="Z110" s="11"/>
    </row>
    <row r="111">
      <c r="A111" s="18"/>
      <c r="B111" s="11"/>
      <c r="C111" s="11"/>
      <c r="D111" s="11"/>
      <c r="E111" s="11"/>
      <c r="F111" s="11"/>
      <c r="G111" s="11"/>
      <c r="H111" s="11"/>
      <c r="I111" s="11"/>
      <c r="J111" s="11"/>
      <c r="K111" s="11"/>
      <c r="L111" s="15"/>
      <c r="M111" s="15"/>
      <c r="N111" s="15"/>
      <c r="O111" s="15"/>
      <c r="P111" s="15"/>
      <c r="Q111" s="11"/>
      <c r="R111" s="11"/>
      <c r="S111" s="11"/>
      <c r="T111" s="11"/>
      <c r="U111" s="15"/>
      <c r="V111" s="11"/>
      <c r="W111" s="11"/>
      <c r="X111" s="11"/>
      <c r="Y111" s="11"/>
      <c r="Z111" s="11"/>
    </row>
    <row r="112">
      <c r="A112" s="18"/>
      <c r="B112" s="11"/>
      <c r="C112" s="11"/>
      <c r="D112" s="11"/>
      <c r="E112" s="11"/>
      <c r="F112" s="11"/>
      <c r="G112" s="11"/>
      <c r="H112" s="11"/>
      <c r="I112" s="11"/>
      <c r="J112" s="11"/>
      <c r="K112" s="11"/>
      <c r="L112" s="15"/>
      <c r="M112" s="15"/>
      <c r="N112" s="15"/>
      <c r="O112" s="15"/>
      <c r="P112" s="15"/>
      <c r="Q112" s="11"/>
      <c r="R112" s="11"/>
      <c r="S112" s="11"/>
      <c r="T112" s="11"/>
      <c r="U112" s="15"/>
      <c r="V112" s="11"/>
      <c r="W112" s="11"/>
      <c r="X112" s="11"/>
      <c r="Y112" s="11"/>
      <c r="Z112" s="11"/>
    </row>
    <row r="113">
      <c r="A113" s="18"/>
      <c r="B113" s="11"/>
      <c r="C113" s="11"/>
      <c r="D113" s="11"/>
      <c r="E113" s="11"/>
      <c r="F113" s="11"/>
      <c r="G113" s="11"/>
      <c r="H113" s="11"/>
      <c r="I113" s="11"/>
      <c r="J113" s="11"/>
      <c r="K113" s="11"/>
      <c r="L113" s="15"/>
      <c r="M113" s="15"/>
      <c r="N113" s="15"/>
      <c r="O113" s="15"/>
      <c r="P113" s="15"/>
      <c r="Q113" s="11"/>
      <c r="R113" s="11"/>
      <c r="S113" s="11"/>
      <c r="T113" s="11"/>
      <c r="U113" s="15"/>
      <c r="V113" s="11"/>
      <c r="W113" s="11"/>
      <c r="X113" s="11"/>
      <c r="Y113" s="11"/>
      <c r="Z113" s="11"/>
    </row>
    <row r="114">
      <c r="A114" s="18"/>
      <c r="B114" s="11"/>
      <c r="C114" s="11"/>
      <c r="D114" s="11"/>
      <c r="E114" s="11"/>
      <c r="F114" s="11"/>
      <c r="G114" s="11"/>
      <c r="H114" s="11"/>
      <c r="I114" s="11"/>
      <c r="J114" s="11"/>
      <c r="K114" s="11"/>
      <c r="L114" s="15"/>
      <c r="M114" s="15"/>
      <c r="N114" s="15"/>
      <c r="O114" s="15"/>
      <c r="P114" s="15"/>
      <c r="Q114" s="11"/>
      <c r="R114" s="11"/>
      <c r="S114" s="11"/>
      <c r="T114" s="11"/>
      <c r="U114" s="15"/>
      <c r="V114" s="11"/>
      <c r="W114" s="11"/>
      <c r="X114" s="11"/>
      <c r="Y114" s="11"/>
      <c r="Z114" s="11"/>
    </row>
    <row r="115">
      <c r="A115" s="18"/>
      <c r="B115" s="11"/>
      <c r="C115" s="11"/>
      <c r="D115" s="11"/>
      <c r="E115" s="11"/>
      <c r="F115" s="11"/>
      <c r="G115" s="11"/>
      <c r="H115" s="11"/>
      <c r="I115" s="11"/>
      <c r="J115" s="11"/>
      <c r="K115" s="11"/>
      <c r="L115" s="15"/>
      <c r="M115" s="15"/>
      <c r="N115" s="15"/>
      <c r="O115" s="15"/>
      <c r="P115" s="15"/>
      <c r="Q115" s="11"/>
      <c r="R115" s="11"/>
      <c r="S115" s="11"/>
      <c r="T115" s="11"/>
      <c r="U115" s="15"/>
      <c r="V115" s="11"/>
      <c r="W115" s="11"/>
      <c r="X115" s="11"/>
      <c r="Y115" s="11"/>
      <c r="Z115" s="11"/>
    </row>
    <row r="116">
      <c r="A116" s="18"/>
      <c r="B116" s="11"/>
      <c r="C116" s="11"/>
      <c r="D116" s="11"/>
      <c r="E116" s="11"/>
      <c r="F116" s="11"/>
      <c r="G116" s="11"/>
      <c r="H116" s="11"/>
      <c r="I116" s="11"/>
      <c r="J116" s="11"/>
      <c r="K116" s="11"/>
      <c r="L116" s="15"/>
      <c r="M116" s="15"/>
      <c r="N116" s="15"/>
      <c r="O116" s="15"/>
      <c r="P116" s="15"/>
      <c r="Q116" s="11"/>
      <c r="R116" s="11"/>
      <c r="S116" s="11"/>
      <c r="T116" s="11"/>
      <c r="U116" s="15"/>
      <c r="V116" s="11"/>
      <c r="W116" s="11"/>
      <c r="X116" s="11"/>
      <c r="Y116" s="11"/>
      <c r="Z116" s="11"/>
    </row>
    <row r="117">
      <c r="A117" s="18"/>
      <c r="B117" s="11"/>
      <c r="C117" s="11"/>
      <c r="D117" s="11"/>
      <c r="E117" s="11"/>
      <c r="F117" s="11"/>
      <c r="G117" s="11"/>
      <c r="H117" s="11"/>
      <c r="I117" s="11"/>
      <c r="J117" s="11"/>
      <c r="K117" s="11"/>
      <c r="L117" s="15"/>
      <c r="M117" s="15"/>
      <c r="N117" s="15"/>
      <c r="O117" s="15"/>
      <c r="P117" s="15"/>
      <c r="Q117" s="11"/>
      <c r="R117" s="11"/>
      <c r="S117" s="11"/>
      <c r="T117" s="11"/>
      <c r="U117" s="15"/>
      <c r="V117" s="11"/>
      <c r="W117" s="11"/>
      <c r="X117" s="11"/>
      <c r="Y117" s="11"/>
      <c r="Z117" s="11"/>
    </row>
    <row r="118">
      <c r="A118" s="18"/>
      <c r="B118" s="11"/>
      <c r="C118" s="11"/>
      <c r="D118" s="11"/>
      <c r="E118" s="11"/>
      <c r="F118" s="11"/>
      <c r="G118" s="11"/>
      <c r="H118" s="11"/>
      <c r="I118" s="11"/>
      <c r="J118" s="11"/>
      <c r="K118" s="11"/>
      <c r="L118" s="15"/>
      <c r="M118" s="15"/>
      <c r="N118" s="15"/>
      <c r="O118" s="15"/>
      <c r="P118" s="15"/>
      <c r="Q118" s="11"/>
      <c r="R118" s="11"/>
      <c r="S118" s="11"/>
      <c r="T118" s="11"/>
      <c r="U118" s="15"/>
      <c r="V118" s="11"/>
      <c r="W118" s="11"/>
      <c r="X118" s="11"/>
      <c r="Y118" s="11"/>
      <c r="Z118" s="11"/>
    </row>
    <row r="119">
      <c r="A119" s="18"/>
      <c r="B119" s="11"/>
      <c r="C119" s="11"/>
      <c r="D119" s="11"/>
      <c r="E119" s="11"/>
      <c r="F119" s="11"/>
      <c r="G119" s="11"/>
      <c r="H119" s="11"/>
      <c r="I119" s="11"/>
      <c r="J119" s="11"/>
      <c r="K119" s="11"/>
      <c r="L119" s="15"/>
      <c r="M119" s="15"/>
      <c r="N119" s="15"/>
      <c r="O119" s="15"/>
      <c r="P119" s="15"/>
      <c r="Q119" s="11"/>
      <c r="R119" s="11"/>
      <c r="S119" s="11"/>
      <c r="T119" s="11"/>
      <c r="U119" s="15"/>
      <c r="V119" s="11"/>
      <c r="W119" s="11"/>
      <c r="X119" s="11"/>
      <c r="Y119" s="11"/>
      <c r="Z119" s="11"/>
    </row>
    <row r="120">
      <c r="A120" s="18"/>
      <c r="B120" s="11"/>
      <c r="C120" s="11"/>
      <c r="D120" s="11"/>
      <c r="E120" s="11"/>
      <c r="F120" s="11"/>
      <c r="G120" s="11"/>
      <c r="H120" s="11"/>
      <c r="I120" s="11"/>
      <c r="J120" s="11"/>
      <c r="K120" s="11"/>
      <c r="L120" s="15"/>
      <c r="M120" s="15"/>
      <c r="N120" s="15"/>
      <c r="O120" s="15"/>
      <c r="P120" s="15"/>
      <c r="Q120" s="11"/>
      <c r="R120" s="11"/>
      <c r="S120" s="11"/>
      <c r="T120" s="11"/>
      <c r="U120" s="15"/>
      <c r="V120" s="11"/>
      <c r="W120" s="11"/>
      <c r="X120" s="11"/>
      <c r="Y120" s="11"/>
      <c r="Z120" s="11"/>
    </row>
    <row r="121">
      <c r="A121" s="18"/>
      <c r="B121" s="11"/>
      <c r="C121" s="11"/>
      <c r="D121" s="11"/>
      <c r="E121" s="11"/>
      <c r="F121" s="11"/>
      <c r="G121" s="11"/>
      <c r="H121" s="11"/>
      <c r="I121" s="11"/>
      <c r="J121" s="11"/>
      <c r="K121" s="11"/>
      <c r="L121" s="15"/>
      <c r="M121" s="15"/>
      <c r="N121" s="15"/>
      <c r="O121" s="15"/>
      <c r="P121" s="15"/>
      <c r="Q121" s="11"/>
      <c r="R121" s="11"/>
      <c r="S121" s="11"/>
      <c r="T121" s="11"/>
      <c r="U121" s="15"/>
      <c r="V121" s="11"/>
      <c r="W121" s="11"/>
      <c r="X121" s="11"/>
      <c r="Y121" s="11"/>
      <c r="Z121" s="11"/>
    </row>
    <row r="122">
      <c r="A122" s="18"/>
      <c r="B122" s="11"/>
      <c r="C122" s="11"/>
      <c r="D122" s="11"/>
      <c r="E122" s="11"/>
      <c r="F122" s="11"/>
      <c r="G122" s="11"/>
      <c r="H122" s="11"/>
      <c r="I122" s="11"/>
      <c r="J122" s="11"/>
      <c r="K122" s="11"/>
      <c r="L122" s="15"/>
      <c r="M122" s="15"/>
      <c r="N122" s="15"/>
      <c r="O122" s="15"/>
      <c r="P122" s="15"/>
      <c r="Q122" s="11"/>
      <c r="R122" s="11"/>
      <c r="S122" s="11"/>
      <c r="T122" s="11"/>
      <c r="U122" s="15"/>
      <c r="V122" s="11"/>
      <c r="W122" s="11"/>
      <c r="X122" s="11"/>
      <c r="Y122" s="11"/>
      <c r="Z122" s="11"/>
    </row>
    <row r="123">
      <c r="A123" s="18"/>
      <c r="B123" s="11"/>
      <c r="C123" s="11"/>
      <c r="D123" s="11"/>
      <c r="E123" s="11"/>
      <c r="F123" s="11"/>
      <c r="G123" s="11"/>
      <c r="H123" s="11"/>
      <c r="I123" s="11"/>
      <c r="J123" s="11"/>
      <c r="K123" s="11"/>
      <c r="L123" s="15"/>
      <c r="M123" s="15"/>
      <c r="N123" s="15"/>
      <c r="O123" s="15"/>
      <c r="P123" s="15"/>
      <c r="Q123" s="11"/>
      <c r="R123" s="11"/>
      <c r="S123" s="11"/>
      <c r="T123" s="11"/>
      <c r="U123" s="15"/>
      <c r="V123" s="11"/>
      <c r="W123" s="11"/>
      <c r="X123" s="11"/>
      <c r="Y123" s="11"/>
      <c r="Z123" s="11"/>
    </row>
    <row r="124">
      <c r="A124" s="18"/>
      <c r="B124" s="11"/>
      <c r="C124" s="11"/>
      <c r="D124" s="11"/>
      <c r="E124" s="11"/>
      <c r="F124" s="11"/>
      <c r="G124" s="11"/>
      <c r="H124" s="11"/>
      <c r="I124" s="11"/>
      <c r="J124" s="11"/>
      <c r="K124" s="11"/>
      <c r="L124" s="15"/>
      <c r="M124" s="15"/>
      <c r="N124" s="15"/>
      <c r="O124" s="15"/>
      <c r="P124" s="15"/>
      <c r="Q124" s="11"/>
      <c r="R124" s="11"/>
      <c r="S124" s="11"/>
      <c r="T124" s="11"/>
      <c r="U124" s="15"/>
      <c r="V124" s="11"/>
      <c r="W124" s="11"/>
      <c r="X124" s="11"/>
      <c r="Y124" s="11"/>
      <c r="Z124" s="11"/>
    </row>
    <row r="125">
      <c r="A125" s="18"/>
      <c r="B125" s="11"/>
      <c r="C125" s="11"/>
      <c r="D125" s="11"/>
      <c r="E125" s="11"/>
      <c r="F125" s="11"/>
      <c r="G125" s="11"/>
      <c r="H125" s="11"/>
      <c r="I125" s="11"/>
      <c r="J125" s="11"/>
      <c r="K125" s="11"/>
      <c r="L125" s="15"/>
      <c r="M125" s="15"/>
      <c r="N125" s="15"/>
      <c r="O125" s="15"/>
      <c r="P125" s="15"/>
      <c r="Q125" s="11"/>
      <c r="R125" s="11"/>
      <c r="S125" s="11"/>
      <c r="T125" s="11"/>
      <c r="U125" s="15"/>
      <c r="V125" s="11"/>
      <c r="W125" s="11"/>
      <c r="X125" s="11"/>
      <c r="Y125" s="11"/>
      <c r="Z125" s="11"/>
    </row>
    <row r="126">
      <c r="A126" s="18"/>
      <c r="B126" s="11"/>
      <c r="C126" s="11"/>
      <c r="D126" s="11"/>
      <c r="E126" s="11"/>
      <c r="F126" s="11"/>
      <c r="G126" s="11"/>
      <c r="H126" s="11"/>
      <c r="I126" s="11"/>
      <c r="J126" s="11"/>
      <c r="K126" s="11"/>
      <c r="L126" s="15"/>
      <c r="M126" s="15"/>
      <c r="N126" s="15"/>
      <c r="O126" s="15"/>
      <c r="P126" s="15"/>
      <c r="Q126" s="11"/>
      <c r="R126" s="11"/>
      <c r="S126" s="11"/>
      <c r="T126" s="11"/>
      <c r="U126" s="15"/>
      <c r="V126" s="11"/>
      <c r="W126" s="11"/>
      <c r="X126" s="11"/>
      <c r="Y126" s="11"/>
      <c r="Z126" s="11"/>
    </row>
    <row r="127">
      <c r="A127" s="18"/>
      <c r="B127" s="11"/>
      <c r="C127" s="11"/>
      <c r="D127" s="11"/>
      <c r="E127" s="11"/>
      <c r="F127" s="11"/>
      <c r="G127" s="11"/>
      <c r="H127" s="11"/>
      <c r="I127" s="11"/>
      <c r="J127" s="11"/>
      <c r="K127" s="11"/>
      <c r="L127" s="15"/>
      <c r="M127" s="15"/>
      <c r="N127" s="15"/>
      <c r="O127" s="15"/>
      <c r="P127" s="15"/>
      <c r="Q127" s="11"/>
      <c r="R127" s="11"/>
      <c r="S127" s="11"/>
      <c r="T127" s="11"/>
      <c r="U127" s="15"/>
      <c r="V127" s="11"/>
      <c r="W127" s="11"/>
      <c r="X127" s="11"/>
      <c r="Y127" s="11"/>
      <c r="Z127" s="11"/>
    </row>
    <row r="128">
      <c r="A128" s="18"/>
      <c r="B128" s="11"/>
      <c r="C128" s="11"/>
      <c r="D128" s="11"/>
      <c r="E128" s="11"/>
      <c r="F128" s="11"/>
      <c r="G128" s="11"/>
      <c r="H128" s="11"/>
      <c r="I128" s="11"/>
      <c r="J128" s="11"/>
      <c r="K128" s="11"/>
      <c r="L128" s="15"/>
      <c r="M128" s="15"/>
      <c r="N128" s="15"/>
      <c r="O128" s="15"/>
      <c r="P128" s="15"/>
      <c r="Q128" s="11"/>
      <c r="R128" s="11"/>
      <c r="S128" s="11"/>
      <c r="T128" s="11"/>
      <c r="U128" s="15"/>
      <c r="V128" s="11"/>
      <c r="W128" s="11"/>
      <c r="X128" s="11"/>
      <c r="Y128" s="11"/>
      <c r="Z128" s="11"/>
    </row>
    <row r="129">
      <c r="A129" s="18"/>
      <c r="B129" s="11"/>
      <c r="C129" s="11"/>
      <c r="D129" s="11"/>
      <c r="E129" s="11"/>
      <c r="F129" s="11"/>
      <c r="G129" s="11"/>
      <c r="H129" s="11"/>
      <c r="I129" s="11"/>
      <c r="J129" s="11"/>
      <c r="K129" s="11"/>
      <c r="L129" s="15"/>
      <c r="M129" s="15"/>
      <c r="N129" s="15"/>
      <c r="O129" s="15"/>
      <c r="P129" s="15"/>
      <c r="Q129" s="11"/>
      <c r="R129" s="11"/>
      <c r="S129" s="11"/>
      <c r="T129" s="11"/>
      <c r="U129" s="15"/>
      <c r="V129" s="11"/>
      <c r="W129" s="11"/>
      <c r="X129" s="11"/>
      <c r="Y129" s="11"/>
      <c r="Z129" s="11"/>
    </row>
    <row r="130">
      <c r="A130" s="18"/>
      <c r="B130" s="11"/>
      <c r="C130" s="11"/>
      <c r="D130" s="11"/>
      <c r="E130" s="11"/>
      <c r="F130" s="11"/>
      <c r="G130" s="11"/>
      <c r="H130" s="11"/>
      <c r="I130" s="11"/>
      <c r="J130" s="11"/>
      <c r="K130" s="11"/>
      <c r="L130" s="15"/>
      <c r="M130" s="15"/>
      <c r="N130" s="15"/>
      <c r="O130" s="15"/>
      <c r="P130" s="15"/>
      <c r="Q130" s="11"/>
      <c r="R130" s="11"/>
      <c r="S130" s="11"/>
      <c r="T130" s="11"/>
      <c r="U130" s="15"/>
      <c r="V130" s="11"/>
      <c r="W130" s="11"/>
      <c r="X130" s="11"/>
      <c r="Y130" s="11"/>
      <c r="Z130" s="11"/>
    </row>
    <row r="131">
      <c r="A131" s="18"/>
      <c r="B131" s="11"/>
      <c r="C131" s="11"/>
      <c r="D131" s="11"/>
      <c r="E131" s="11"/>
      <c r="F131" s="11"/>
      <c r="G131" s="11"/>
      <c r="H131" s="11"/>
      <c r="I131" s="11"/>
      <c r="J131" s="11"/>
      <c r="K131" s="11"/>
      <c r="L131" s="15"/>
      <c r="M131" s="15"/>
      <c r="N131" s="15"/>
      <c r="O131" s="15"/>
      <c r="P131" s="15"/>
      <c r="Q131" s="11"/>
      <c r="R131" s="11"/>
      <c r="S131" s="11"/>
      <c r="T131" s="11"/>
      <c r="U131" s="15"/>
      <c r="V131" s="11"/>
      <c r="W131" s="11"/>
      <c r="X131" s="11"/>
      <c r="Y131" s="11"/>
      <c r="Z131" s="11"/>
    </row>
    <row r="132">
      <c r="A132" s="18"/>
      <c r="B132" s="11"/>
      <c r="C132" s="11"/>
      <c r="D132" s="11"/>
      <c r="E132" s="11"/>
      <c r="F132" s="11"/>
      <c r="G132" s="11"/>
      <c r="H132" s="11"/>
      <c r="I132" s="11"/>
      <c r="J132" s="11"/>
      <c r="K132" s="11"/>
      <c r="L132" s="15"/>
      <c r="M132" s="15"/>
      <c r="N132" s="15"/>
      <c r="O132" s="15"/>
      <c r="P132" s="15"/>
      <c r="Q132" s="11"/>
      <c r="R132" s="11"/>
      <c r="S132" s="11"/>
      <c r="T132" s="11"/>
      <c r="U132" s="15"/>
      <c r="V132" s="11"/>
      <c r="W132" s="11"/>
      <c r="X132" s="11"/>
      <c r="Y132" s="11"/>
      <c r="Z132" s="11"/>
    </row>
    <row r="133">
      <c r="A133" s="18"/>
      <c r="B133" s="11"/>
      <c r="C133" s="11"/>
      <c r="D133" s="11"/>
      <c r="E133" s="11"/>
      <c r="F133" s="11"/>
      <c r="G133" s="11"/>
      <c r="H133" s="11"/>
      <c r="I133" s="11"/>
      <c r="J133" s="11"/>
      <c r="K133" s="11"/>
      <c r="L133" s="15"/>
      <c r="M133" s="15"/>
      <c r="N133" s="15"/>
      <c r="O133" s="15"/>
      <c r="P133" s="15"/>
      <c r="Q133" s="11"/>
      <c r="R133" s="11"/>
      <c r="S133" s="11"/>
      <c r="T133" s="11"/>
      <c r="U133" s="15"/>
      <c r="V133" s="11"/>
      <c r="W133" s="11"/>
      <c r="X133" s="11"/>
      <c r="Y133" s="11"/>
      <c r="Z133" s="11"/>
    </row>
    <row r="134">
      <c r="A134" s="18"/>
      <c r="B134" s="11"/>
      <c r="C134" s="11"/>
      <c r="D134" s="11"/>
      <c r="E134" s="11"/>
      <c r="F134" s="11"/>
      <c r="G134" s="11"/>
      <c r="H134" s="11"/>
      <c r="I134" s="11"/>
      <c r="J134" s="11"/>
      <c r="K134" s="11"/>
      <c r="L134" s="15"/>
      <c r="M134" s="15"/>
      <c r="N134" s="15"/>
      <c r="O134" s="15"/>
      <c r="P134" s="15"/>
      <c r="Q134" s="11"/>
      <c r="R134" s="11"/>
      <c r="S134" s="11"/>
      <c r="T134" s="11"/>
      <c r="U134" s="15"/>
      <c r="V134" s="11"/>
      <c r="W134" s="11"/>
      <c r="X134" s="11"/>
      <c r="Y134" s="11"/>
      <c r="Z134" s="11"/>
    </row>
    <row r="135">
      <c r="A135" s="18"/>
      <c r="B135" s="11"/>
      <c r="C135" s="11"/>
      <c r="D135" s="11"/>
      <c r="E135" s="11"/>
      <c r="F135" s="11"/>
      <c r="G135" s="11"/>
      <c r="H135" s="11"/>
      <c r="I135" s="11"/>
      <c r="J135" s="11"/>
      <c r="K135" s="11"/>
      <c r="L135" s="15"/>
      <c r="M135" s="15"/>
      <c r="N135" s="15"/>
      <c r="O135" s="15"/>
      <c r="P135" s="15"/>
      <c r="Q135" s="11"/>
      <c r="R135" s="11"/>
      <c r="S135" s="11"/>
      <c r="T135" s="11"/>
      <c r="U135" s="15"/>
      <c r="V135" s="11"/>
      <c r="W135" s="11"/>
      <c r="X135" s="11"/>
      <c r="Y135" s="11"/>
      <c r="Z135" s="11"/>
    </row>
    <row r="136">
      <c r="A136" s="18"/>
      <c r="B136" s="11"/>
      <c r="C136" s="11"/>
      <c r="D136" s="11"/>
      <c r="E136" s="11"/>
      <c r="F136" s="11"/>
      <c r="G136" s="11"/>
      <c r="H136" s="11"/>
      <c r="I136" s="11"/>
      <c r="J136" s="11"/>
      <c r="K136" s="11"/>
      <c r="L136" s="15"/>
      <c r="M136" s="15"/>
      <c r="N136" s="15"/>
      <c r="O136" s="15"/>
      <c r="P136" s="15"/>
      <c r="Q136" s="11"/>
      <c r="R136" s="11"/>
      <c r="S136" s="11"/>
      <c r="T136" s="11"/>
      <c r="U136" s="15"/>
      <c r="V136" s="11"/>
      <c r="W136" s="11"/>
      <c r="X136" s="11"/>
      <c r="Y136" s="11"/>
      <c r="Z136" s="11"/>
    </row>
    <row r="137">
      <c r="A137" s="18"/>
      <c r="B137" s="11"/>
      <c r="C137" s="11"/>
      <c r="D137" s="11"/>
      <c r="E137" s="11"/>
      <c r="F137" s="11"/>
      <c r="G137" s="11"/>
      <c r="H137" s="11"/>
      <c r="I137" s="11"/>
      <c r="J137" s="11"/>
      <c r="K137" s="11"/>
      <c r="L137" s="15"/>
      <c r="M137" s="15"/>
      <c r="N137" s="15"/>
      <c r="O137" s="15"/>
      <c r="P137" s="15"/>
      <c r="Q137" s="11"/>
      <c r="R137" s="11"/>
      <c r="S137" s="11"/>
      <c r="T137" s="11"/>
      <c r="U137" s="15"/>
      <c r="V137" s="11"/>
      <c r="W137" s="11"/>
      <c r="X137" s="11"/>
      <c r="Y137" s="11"/>
      <c r="Z137" s="11"/>
    </row>
    <row r="138">
      <c r="A138" s="18"/>
      <c r="B138" s="11"/>
      <c r="C138" s="11"/>
      <c r="D138" s="11"/>
      <c r="E138" s="11"/>
      <c r="F138" s="11"/>
      <c r="G138" s="11"/>
      <c r="H138" s="11"/>
      <c r="I138" s="11"/>
      <c r="J138" s="11"/>
      <c r="K138" s="11"/>
      <c r="L138" s="15"/>
      <c r="M138" s="15"/>
      <c r="N138" s="15"/>
      <c r="O138" s="15"/>
      <c r="P138" s="15"/>
      <c r="Q138" s="11"/>
      <c r="R138" s="11"/>
      <c r="S138" s="11"/>
      <c r="T138" s="11"/>
      <c r="U138" s="15"/>
      <c r="V138" s="11"/>
      <c r="W138" s="11"/>
      <c r="X138" s="11"/>
      <c r="Y138" s="11"/>
      <c r="Z138" s="11"/>
    </row>
    <row r="139">
      <c r="A139" s="18"/>
      <c r="B139" s="11"/>
      <c r="C139" s="11"/>
      <c r="D139" s="11"/>
      <c r="E139" s="11"/>
      <c r="F139" s="11"/>
      <c r="G139" s="11"/>
      <c r="H139" s="11"/>
      <c r="I139" s="11"/>
      <c r="J139" s="11"/>
      <c r="K139" s="11"/>
      <c r="L139" s="15"/>
      <c r="M139" s="15"/>
      <c r="N139" s="15"/>
      <c r="O139" s="15"/>
      <c r="P139" s="15"/>
      <c r="Q139" s="11"/>
      <c r="R139" s="11"/>
      <c r="S139" s="11"/>
      <c r="T139" s="11"/>
      <c r="U139" s="15"/>
      <c r="V139" s="11"/>
      <c r="W139" s="11"/>
      <c r="X139" s="11"/>
      <c r="Y139" s="11"/>
      <c r="Z139" s="11"/>
    </row>
    <row r="140">
      <c r="A140" s="18"/>
      <c r="B140" s="11"/>
      <c r="C140" s="11"/>
      <c r="D140" s="11"/>
      <c r="E140" s="11"/>
      <c r="F140" s="11"/>
      <c r="G140" s="11"/>
      <c r="H140" s="11"/>
      <c r="I140" s="11"/>
      <c r="J140" s="11"/>
      <c r="K140" s="11"/>
      <c r="L140" s="15"/>
      <c r="M140" s="15"/>
      <c r="N140" s="15"/>
      <c r="O140" s="15"/>
      <c r="P140" s="15"/>
      <c r="Q140" s="11"/>
      <c r="R140" s="11"/>
      <c r="S140" s="11"/>
      <c r="T140" s="11"/>
      <c r="U140" s="15"/>
      <c r="V140" s="11"/>
      <c r="W140" s="11"/>
      <c r="X140" s="11"/>
      <c r="Y140" s="11"/>
      <c r="Z140" s="11"/>
    </row>
    <row r="141">
      <c r="A141" s="18"/>
      <c r="B141" s="11"/>
      <c r="C141" s="11"/>
      <c r="D141" s="11"/>
      <c r="E141" s="11"/>
      <c r="F141" s="11"/>
      <c r="G141" s="11"/>
      <c r="H141" s="11"/>
      <c r="I141" s="11"/>
      <c r="J141" s="11"/>
      <c r="K141" s="11"/>
      <c r="L141" s="15"/>
      <c r="M141" s="15"/>
      <c r="N141" s="15"/>
      <c r="O141" s="15"/>
      <c r="P141" s="15"/>
      <c r="Q141" s="11"/>
      <c r="R141" s="11"/>
      <c r="S141" s="11"/>
      <c r="T141" s="11"/>
      <c r="U141" s="15"/>
      <c r="V141" s="11"/>
      <c r="W141" s="11"/>
      <c r="X141" s="11"/>
      <c r="Y141" s="11"/>
      <c r="Z141" s="11"/>
    </row>
    <row r="142">
      <c r="A142" s="18"/>
      <c r="B142" s="11"/>
      <c r="C142" s="11"/>
      <c r="D142" s="11"/>
      <c r="E142" s="11"/>
      <c r="F142" s="11"/>
      <c r="G142" s="11"/>
      <c r="H142" s="11"/>
      <c r="I142" s="11"/>
      <c r="J142" s="11"/>
      <c r="K142" s="11"/>
      <c r="L142" s="15"/>
      <c r="M142" s="15"/>
      <c r="N142" s="15"/>
      <c r="O142" s="15"/>
      <c r="P142" s="15"/>
      <c r="Q142" s="11"/>
      <c r="R142" s="11"/>
      <c r="S142" s="11"/>
      <c r="T142" s="11"/>
      <c r="U142" s="15"/>
      <c r="V142" s="11"/>
      <c r="W142" s="11"/>
      <c r="X142" s="11"/>
      <c r="Y142" s="11"/>
      <c r="Z142" s="11"/>
    </row>
    <row r="143">
      <c r="A143" s="18"/>
      <c r="B143" s="11"/>
      <c r="C143" s="11"/>
      <c r="D143" s="11"/>
      <c r="E143" s="11"/>
      <c r="F143" s="11"/>
      <c r="G143" s="11"/>
      <c r="H143" s="11"/>
      <c r="I143" s="11"/>
      <c r="J143" s="11"/>
      <c r="K143" s="11"/>
      <c r="L143" s="15"/>
      <c r="M143" s="15"/>
      <c r="N143" s="15"/>
      <c r="O143" s="15"/>
      <c r="P143" s="15"/>
      <c r="Q143" s="11"/>
      <c r="R143" s="11"/>
      <c r="S143" s="11"/>
      <c r="T143" s="11"/>
      <c r="U143" s="15"/>
      <c r="V143" s="11"/>
      <c r="W143" s="11"/>
      <c r="X143" s="11"/>
      <c r="Y143" s="11"/>
      <c r="Z143" s="11"/>
    </row>
    <row r="144">
      <c r="A144" s="18"/>
      <c r="B144" s="11"/>
      <c r="C144" s="11"/>
      <c r="D144" s="11"/>
      <c r="E144" s="11"/>
      <c r="F144" s="11"/>
      <c r="G144" s="11"/>
      <c r="H144" s="11"/>
      <c r="I144" s="11"/>
      <c r="J144" s="11"/>
      <c r="K144" s="11"/>
      <c r="L144" s="15"/>
      <c r="M144" s="15"/>
      <c r="N144" s="15"/>
      <c r="O144" s="15"/>
      <c r="P144" s="15"/>
      <c r="Q144" s="11"/>
      <c r="R144" s="11"/>
      <c r="S144" s="11"/>
      <c r="T144" s="11"/>
      <c r="U144" s="15"/>
      <c r="V144" s="11"/>
      <c r="W144" s="11"/>
      <c r="X144" s="11"/>
      <c r="Y144" s="11"/>
      <c r="Z144" s="11"/>
    </row>
    <row r="145">
      <c r="A145" s="18"/>
      <c r="B145" s="11"/>
      <c r="C145" s="11"/>
      <c r="D145" s="11"/>
      <c r="E145" s="11"/>
      <c r="F145" s="11"/>
      <c r="G145" s="11"/>
      <c r="H145" s="11"/>
      <c r="I145" s="11"/>
      <c r="J145" s="11"/>
      <c r="K145" s="11"/>
      <c r="L145" s="15"/>
      <c r="M145" s="15"/>
      <c r="N145" s="15"/>
      <c r="O145" s="15"/>
      <c r="P145" s="15"/>
      <c r="Q145" s="11"/>
      <c r="R145" s="11"/>
      <c r="S145" s="11"/>
      <c r="T145" s="11"/>
      <c r="U145" s="15"/>
      <c r="V145" s="11"/>
      <c r="W145" s="11"/>
      <c r="X145" s="11"/>
      <c r="Y145" s="11"/>
      <c r="Z145" s="11"/>
    </row>
    <row r="146">
      <c r="A146" s="18"/>
      <c r="B146" s="11"/>
      <c r="C146" s="11"/>
      <c r="D146" s="11"/>
      <c r="E146" s="11"/>
      <c r="F146" s="11"/>
      <c r="G146" s="11"/>
      <c r="H146" s="11"/>
      <c r="I146" s="11"/>
      <c r="J146" s="11"/>
      <c r="K146" s="11"/>
      <c r="L146" s="15"/>
      <c r="M146" s="15"/>
      <c r="N146" s="15"/>
      <c r="O146" s="15"/>
      <c r="P146" s="15"/>
      <c r="Q146" s="11"/>
      <c r="R146" s="11"/>
      <c r="S146" s="11"/>
      <c r="T146" s="11"/>
      <c r="U146" s="15"/>
      <c r="V146" s="11"/>
      <c r="W146" s="11"/>
      <c r="X146" s="11"/>
      <c r="Y146" s="11"/>
      <c r="Z146" s="11"/>
    </row>
    <row r="147">
      <c r="A147" s="18"/>
      <c r="B147" s="11"/>
      <c r="C147" s="11"/>
      <c r="D147" s="11"/>
      <c r="E147" s="11"/>
      <c r="F147" s="11"/>
      <c r="G147" s="11"/>
      <c r="H147" s="11"/>
      <c r="I147" s="11"/>
      <c r="J147" s="11"/>
      <c r="K147" s="11"/>
      <c r="L147" s="15"/>
      <c r="M147" s="15"/>
      <c r="N147" s="15"/>
      <c r="O147" s="15"/>
      <c r="P147" s="15"/>
      <c r="Q147" s="11"/>
      <c r="R147" s="11"/>
      <c r="S147" s="11"/>
      <c r="T147" s="11"/>
      <c r="U147" s="15"/>
      <c r="V147" s="11"/>
      <c r="W147" s="11"/>
      <c r="X147" s="11"/>
      <c r="Y147" s="11"/>
      <c r="Z147" s="11"/>
    </row>
    <row r="148">
      <c r="A148" s="18"/>
      <c r="B148" s="11"/>
      <c r="C148" s="11"/>
      <c r="D148" s="11"/>
      <c r="E148" s="11"/>
      <c r="F148" s="11"/>
      <c r="G148" s="11"/>
      <c r="H148" s="11"/>
      <c r="I148" s="11"/>
      <c r="J148" s="11"/>
      <c r="K148" s="11"/>
      <c r="L148" s="15"/>
      <c r="M148" s="15"/>
      <c r="N148" s="15"/>
      <c r="O148" s="15"/>
      <c r="P148" s="15"/>
      <c r="Q148" s="11"/>
      <c r="R148" s="11"/>
      <c r="S148" s="11"/>
      <c r="T148" s="11"/>
      <c r="U148" s="15"/>
      <c r="V148" s="11"/>
      <c r="W148" s="11"/>
      <c r="X148" s="11"/>
      <c r="Y148" s="11"/>
      <c r="Z148" s="11"/>
    </row>
    <row r="149">
      <c r="A149" s="18"/>
      <c r="B149" s="11"/>
      <c r="C149" s="11"/>
      <c r="D149" s="11"/>
      <c r="E149" s="11"/>
      <c r="F149" s="11"/>
      <c r="G149" s="11"/>
      <c r="H149" s="11"/>
      <c r="I149" s="11"/>
      <c r="J149" s="11"/>
      <c r="K149" s="11"/>
      <c r="L149" s="15"/>
      <c r="M149" s="15"/>
      <c r="N149" s="15"/>
      <c r="O149" s="15"/>
      <c r="P149" s="15"/>
      <c r="Q149" s="11"/>
      <c r="R149" s="11"/>
      <c r="S149" s="11"/>
      <c r="T149" s="11"/>
      <c r="U149" s="15"/>
      <c r="V149" s="11"/>
      <c r="W149" s="11"/>
      <c r="X149" s="11"/>
      <c r="Y149" s="11"/>
      <c r="Z149" s="11"/>
    </row>
    <row r="150">
      <c r="A150" s="18"/>
      <c r="B150" s="11"/>
      <c r="C150" s="11"/>
      <c r="D150" s="11"/>
      <c r="E150" s="11"/>
      <c r="F150" s="11"/>
      <c r="G150" s="11"/>
      <c r="H150" s="11"/>
      <c r="I150" s="11"/>
      <c r="J150" s="11"/>
      <c r="K150" s="11"/>
      <c r="L150" s="15"/>
      <c r="M150" s="15"/>
      <c r="N150" s="15"/>
      <c r="O150" s="15"/>
      <c r="P150" s="15"/>
      <c r="Q150" s="11"/>
      <c r="R150" s="11"/>
      <c r="S150" s="11"/>
      <c r="T150" s="11"/>
      <c r="U150" s="15"/>
      <c r="V150" s="11"/>
      <c r="W150" s="11"/>
      <c r="X150" s="11"/>
      <c r="Y150" s="11"/>
      <c r="Z150" s="11"/>
    </row>
    <row r="151">
      <c r="A151" s="18"/>
      <c r="B151" s="11"/>
      <c r="C151" s="11"/>
      <c r="D151" s="11"/>
      <c r="E151" s="11"/>
      <c r="F151" s="11"/>
      <c r="G151" s="11"/>
      <c r="H151" s="11"/>
      <c r="I151" s="11"/>
      <c r="J151" s="11"/>
      <c r="K151" s="11"/>
      <c r="L151" s="15"/>
      <c r="M151" s="15"/>
      <c r="N151" s="15"/>
      <c r="O151" s="15"/>
      <c r="P151" s="15"/>
      <c r="Q151" s="11"/>
      <c r="R151" s="11"/>
      <c r="S151" s="11"/>
      <c r="T151" s="11"/>
      <c r="U151" s="15"/>
      <c r="V151" s="11"/>
      <c r="W151" s="11"/>
      <c r="X151" s="11"/>
      <c r="Y151" s="11"/>
      <c r="Z151" s="11"/>
    </row>
    <row r="152">
      <c r="A152" s="18"/>
      <c r="B152" s="11"/>
      <c r="C152" s="11"/>
      <c r="D152" s="11"/>
      <c r="E152" s="11"/>
      <c r="F152" s="11"/>
      <c r="G152" s="11"/>
      <c r="H152" s="11"/>
      <c r="I152" s="11"/>
      <c r="J152" s="11"/>
      <c r="K152" s="11"/>
      <c r="L152" s="15"/>
      <c r="M152" s="15"/>
      <c r="N152" s="15"/>
      <c r="O152" s="15"/>
      <c r="P152" s="15"/>
      <c r="Q152" s="11"/>
      <c r="R152" s="11"/>
      <c r="S152" s="11"/>
      <c r="T152" s="11"/>
      <c r="U152" s="15"/>
      <c r="V152" s="11"/>
      <c r="W152" s="11"/>
      <c r="X152" s="11"/>
      <c r="Y152" s="11"/>
      <c r="Z152" s="11"/>
    </row>
    <row r="153">
      <c r="A153" s="18"/>
      <c r="B153" s="11"/>
      <c r="C153" s="11"/>
      <c r="D153" s="11"/>
      <c r="E153" s="11"/>
      <c r="F153" s="11"/>
      <c r="G153" s="11"/>
      <c r="H153" s="11"/>
      <c r="I153" s="11"/>
      <c r="J153" s="11"/>
      <c r="K153" s="11"/>
      <c r="L153" s="15"/>
      <c r="M153" s="15"/>
      <c r="N153" s="15"/>
      <c r="O153" s="15"/>
      <c r="P153" s="15"/>
      <c r="Q153" s="11"/>
      <c r="R153" s="11"/>
      <c r="S153" s="11"/>
      <c r="T153" s="11"/>
      <c r="U153" s="15"/>
      <c r="V153" s="11"/>
      <c r="W153" s="11"/>
      <c r="X153" s="11"/>
      <c r="Y153" s="11"/>
      <c r="Z153" s="11"/>
    </row>
    <row r="154">
      <c r="A154" s="18"/>
      <c r="B154" s="11"/>
      <c r="C154" s="11"/>
      <c r="D154" s="11"/>
      <c r="E154" s="11"/>
      <c r="F154" s="11"/>
      <c r="G154" s="11"/>
      <c r="H154" s="11"/>
      <c r="I154" s="11"/>
      <c r="J154" s="11"/>
      <c r="K154" s="11"/>
      <c r="L154" s="15"/>
      <c r="M154" s="15"/>
      <c r="N154" s="15"/>
      <c r="O154" s="15"/>
      <c r="P154" s="15"/>
      <c r="Q154" s="11"/>
      <c r="R154" s="11"/>
      <c r="S154" s="11"/>
      <c r="T154" s="11"/>
      <c r="U154" s="15"/>
      <c r="V154" s="11"/>
      <c r="W154" s="11"/>
      <c r="X154" s="11"/>
      <c r="Y154" s="11"/>
      <c r="Z154" s="11"/>
    </row>
    <row r="155">
      <c r="A155" s="18"/>
      <c r="B155" s="11"/>
      <c r="C155" s="11"/>
      <c r="D155" s="11"/>
      <c r="E155" s="11"/>
      <c r="F155" s="11"/>
      <c r="G155" s="11"/>
      <c r="H155" s="11"/>
      <c r="I155" s="11"/>
      <c r="J155" s="11"/>
      <c r="K155" s="11"/>
      <c r="L155" s="15"/>
      <c r="M155" s="15"/>
      <c r="N155" s="15"/>
      <c r="O155" s="15"/>
      <c r="P155" s="15"/>
      <c r="Q155" s="11"/>
      <c r="R155" s="11"/>
      <c r="S155" s="11"/>
      <c r="T155" s="11"/>
      <c r="U155" s="15"/>
      <c r="V155" s="11"/>
      <c r="W155" s="11"/>
      <c r="X155" s="11"/>
      <c r="Y155" s="11"/>
      <c r="Z155" s="11"/>
    </row>
    <row r="156">
      <c r="A156" s="18"/>
      <c r="B156" s="11"/>
      <c r="C156" s="11"/>
      <c r="D156" s="11"/>
      <c r="E156" s="11"/>
      <c r="F156" s="11"/>
      <c r="G156" s="11"/>
      <c r="H156" s="11"/>
      <c r="I156" s="11"/>
      <c r="J156" s="11"/>
      <c r="K156" s="11"/>
      <c r="L156" s="15"/>
      <c r="M156" s="15"/>
      <c r="N156" s="15"/>
      <c r="O156" s="15"/>
      <c r="P156" s="15"/>
      <c r="Q156" s="11"/>
      <c r="R156" s="11"/>
      <c r="S156" s="11"/>
      <c r="T156" s="11"/>
      <c r="U156" s="15"/>
      <c r="V156" s="11"/>
      <c r="W156" s="11"/>
      <c r="X156" s="11"/>
      <c r="Y156" s="11"/>
      <c r="Z156" s="11"/>
    </row>
    <row r="157">
      <c r="A157" s="18"/>
      <c r="B157" s="11"/>
      <c r="C157" s="11"/>
      <c r="D157" s="11"/>
      <c r="E157" s="11"/>
      <c r="F157" s="11"/>
      <c r="G157" s="11"/>
      <c r="H157" s="11"/>
      <c r="I157" s="11"/>
      <c r="J157" s="11"/>
      <c r="K157" s="11"/>
      <c r="L157" s="15"/>
      <c r="M157" s="15"/>
      <c r="N157" s="15"/>
      <c r="O157" s="15"/>
      <c r="P157" s="15"/>
      <c r="Q157" s="11"/>
      <c r="R157" s="11"/>
      <c r="S157" s="11"/>
      <c r="T157" s="11"/>
      <c r="U157" s="15"/>
      <c r="V157" s="11"/>
      <c r="W157" s="11"/>
      <c r="X157" s="11"/>
      <c r="Y157" s="11"/>
      <c r="Z157" s="11"/>
    </row>
    <row r="158">
      <c r="A158" s="18"/>
      <c r="B158" s="11"/>
      <c r="C158" s="11"/>
      <c r="D158" s="11"/>
      <c r="E158" s="11"/>
      <c r="F158" s="11"/>
      <c r="G158" s="11"/>
      <c r="H158" s="11"/>
      <c r="I158" s="11"/>
      <c r="J158" s="11"/>
      <c r="K158" s="11"/>
      <c r="L158" s="15"/>
      <c r="M158" s="15"/>
      <c r="N158" s="15"/>
      <c r="O158" s="15"/>
      <c r="P158" s="15"/>
      <c r="Q158" s="11"/>
      <c r="R158" s="11"/>
      <c r="S158" s="11"/>
      <c r="T158" s="11"/>
      <c r="U158" s="15"/>
      <c r="V158" s="11"/>
      <c r="W158" s="11"/>
      <c r="X158" s="11"/>
      <c r="Y158" s="11"/>
      <c r="Z158" s="11"/>
    </row>
    <row r="159">
      <c r="A159" s="18"/>
      <c r="B159" s="11"/>
      <c r="C159" s="11"/>
      <c r="D159" s="11"/>
      <c r="E159" s="11"/>
      <c r="F159" s="11"/>
      <c r="G159" s="11"/>
      <c r="H159" s="11"/>
      <c r="I159" s="11"/>
      <c r="J159" s="11"/>
      <c r="K159" s="11"/>
      <c r="L159" s="15"/>
      <c r="M159" s="15"/>
      <c r="N159" s="15"/>
      <c r="O159" s="15"/>
      <c r="P159" s="15"/>
      <c r="Q159" s="11"/>
      <c r="R159" s="11"/>
      <c r="S159" s="11"/>
      <c r="T159" s="11"/>
      <c r="U159" s="15"/>
      <c r="V159" s="11"/>
      <c r="W159" s="11"/>
      <c r="X159" s="11"/>
      <c r="Y159" s="11"/>
      <c r="Z159" s="11"/>
    </row>
    <row r="160">
      <c r="A160" s="18"/>
      <c r="B160" s="11"/>
      <c r="C160" s="11"/>
      <c r="D160" s="11"/>
      <c r="E160" s="11"/>
      <c r="F160" s="11"/>
      <c r="G160" s="11"/>
      <c r="H160" s="11"/>
      <c r="I160" s="11"/>
      <c r="J160" s="11"/>
      <c r="K160" s="11"/>
      <c r="L160" s="15"/>
      <c r="M160" s="15"/>
      <c r="N160" s="15"/>
      <c r="O160" s="15"/>
      <c r="P160" s="15"/>
      <c r="Q160" s="11"/>
      <c r="R160" s="11"/>
      <c r="S160" s="11"/>
      <c r="T160" s="11"/>
      <c r="U160" s="15"/>
      <c r="V160" s="11"/>
      <c r="W160" s="11"/>
      <c r="X160" s="11"/>
      <c r="Y160" s="11"/>
      <c r="Z160" s="11"/>
    </row>
    <row r="161">
      <c r="A161" s="18"/>
      <c r="B161" s="11"/>
      <c r="C161" s="11"/>
      <c r="D161" s="11"/>
      <c r="E161" s="11"/>
      <c r="F161" s="11"/>
      <c r="G161" s="11"/>
      <c r="H161" s="11"/>
      <c r="I161" s="11"/>
      <c r="J161" s="11"/>
      <c r="K161" s="11"/>
      <c r="L161" s="15"/>
      <c r="M161" s="15"/>
      <c r="N161" s="15"/>
      <c r="O161" s="15"/>
      <c r="P161" s="15"/>
      <c r="Q161" s="11"/>
      <c r="R161" s="11"/>
      <c r="S161" s="11"/>
      <c r="T161" s="11"/>
      <c r="U161" s="15"/>
      <c r="V161" s="11"/>
      <c r="W161" s="11"/>
      <c r="X161" s="11"/>
      <c r="Y161" s="11"/>
      <c r="Z161" s="11"/>
    </row>
    <row r="162">
      <c r="A162" s="18"/>
      <c r="B162" s="11"/>
      <c r="C162" s="11"/>
      <c r="D162" s="11"/>
      <c r="E162" s="11"/>
      <c r="F162" s="11"/>
      <c r="G162" s="11"/>
      <c r="H162" s="11"/>
      <c r="I162" s="11"/>
      <c r="J162" s="11"/>
      <c r="K162" s="11"/>
      <c r="L162" s="15"/>
      <c r="M162" s="15"/>
      <c r="N162" s="15"/>
      <c r="O162" s="15"/>
      <c r="P162" s="15"/>
      <c r="Q162" s="11"/>
      <c r="R162" s="11"/>
      <c r="S162" s="11"/>
      <c r="T162" s="11"/>
      <c r="U162" s="15"/>
      <c r="V162" s="11"/>
      <c r="W162" s="11"/>
      <c r="X162" s="11"/>
      <c r="Y162" s="11"/>
      <c r="Z162" s="11"/>
    </row>
    <row r="163">
      <c r="A163" s="18"/>
      <c r="B163" s="11"/>
      <c r="C163" s="11"/>
      <c r="D163" s="11"/>
      <c r="E163" s="11"/>
      <c r="F163" s="11"/>
      <c r="G163" s="11"/>
      <c r="H163" s="11"/>
      <c r="I163" s="11"/>
      <c r="J163" s="11"/>
      <c r="K163" s="11"/>
      <c r="L163" s="15"/>
      <c r="M163" s="15"/>
      <c r="N163" s="15"/>
      <c r="O163" s="15"/>
      <c r="P163" s="15"/>
      <c r="Q163" s="11"/>
      <c r="R163" s="11"/>
      <c r="S163" s="11"/>
      <c r="T163" s="11"/>
      <c r="U163" s="15"/>
      <c r="V163" s="11"/>
      <c r="W163" s="11"/>
      <c r="X163" s="11"/>
      <c r="Y163" s="11"/>
      <c r="Z163" s="11"/>
    </row>
    <row r="164">
      <c r="A164" s="18"/>
      <c r="B164" s="11"/>
      <c r="C164" s="11"/>
      <c r="D164" s="11"/>
      <c r="E164" s="11"/>
      <c r="F164" s="11"/>
      <c r="G164" s="11"/>
      <c r="H164" s="11"/>
      <c r="I164" s="11"/>
      <c r="J164" s="11"/>
      <c r="K164" s="11"/>
      <c r="L164" s="15"/>
      <c r="M164" s="15"/>
      <c r="N164" s="15"/>
      <c r="O164" s="15"/>
      <c r="P164" s="15"/>
      <c r="Q164" s="11"/>
      <c r="R164" s="11"/>
      <c r="S164" s="11"/>
      <c r="T164" s="11"/>
      <c r="U164" s="15"/>
      <c r="V164" s="11"/>
      <c r="W164" s="11"/>
      <c r="X164" s="11"/>
      <c r="Y164" s="11"/>
      <c r="Z164" s="11"/>
    </row>
    <row r="165">
      <c r="A165" s="18"/>
      <c r="B165" s="11"/>
      <c r="C165" s="11"/>
      <c r="D165" s="11"/>
      <c r="E165" s="11"/>
      <c r="F165" s="11"/>
      <c r="G165" s="11"/>
      <c r="H165" s="11"/>
      <c r="I165" s="11"/>
      <c r="J165" s="11"/>
      <c r="K165" s="11"/>
      <c r="L165" s="15"/>
      <c r="M165" s="15"/>
      <c r="N165" s="15"/>
      <c r="O165" s="15"/>
      <c r="P165" s="15"/>
      <c r="Q165" s="11"/>
      <c r="R165" s="11"/>
      <c r="S165" s="11"/>
      <c r="T165" s="11"/>
      <c r="U165" s="15"/>
      <c r="V165" s="11"/>
      <c r="W165" s="11"/>
      <c r="X165" s="11"/>
      <c r="Y165" s="11"/>
      <c r="Z165" s="11"/>
    </row>
    <row r="166">
      <c r="A166" s="18"/>
      <c r="B166" s="11"/>
      <c r="C166" s="11"/>
      <c r="D166" s="11"/>
      <c r="E166" s="11"/>
      <c r="F166" s="11"/>
      <c r="G166" s="11"/>
      <c r="H166" s="11"/>
      <c r="I166" s="11"/>
      <c r="J166" s="11"/>
      <c r="K166" s="11"/>
      <c r="L166" s="15"/>
      <c r="M166" s="15"/>
      <c r="N166" s="15"/>
      <c r="O166" s="15"/>
      <c r="P166" s="15"/>
      <c r="Q166" s="11"/>
      <c r="R166" s="11"/>
      <c r="S166" s="11"/>
      <c r="T166" s="11"/>
      <c r="U166" s="15"/>
      <c r="V166" s="11"/>
      <c r="W166" s="11"/>
      <c r="X166" s="11"/>
      <c r="Y166" s="11"/>
      <c r="Z166" s="11"/>
    </row>
    <row r="167">
      <c r="A167" s="18"/>
      <c r="B167" s="11"/>
      <c r="C167" s="11"/>
      <c r="D167" s="11"/>
      <c r="E167" s="11"/>
      <c r="F167" s="11"/>
      <c r="G167" s="11"/>
      <c r="H167" s="11"/>
      <c r="I167" s="11"/>
      <c r="J167" s="11"/>
      <c r="K167" s="11"/>
      <c r="L167" s="15"/>
      <c r="M167" s="15"/>
      <c r="N167" s="15"/>
      <c r="O167" s="15"/>
      <c r="P167" s="15"/>
      <c r="Q167" s="11"/>
      <c r="R167" s="11"/>
      <c r="S167" s="11"/>
      <c r="T167" s="11"/>
      <c r="U167" s="15"/>
      <c r="V167" s="11"/>
      <c r="W167" s="11"/>
      <c r="X167" s="11"/>
      <c r="Y167" s="11"/>
      <c r="Z167" s="11"/>
    </row>
    <row r="168">
      <c r="A168" s="18"/>
      <c r="B168" s="11"/>
      <c r="C168" s="11"/>
      <c r="D168" s="11"/>
      <c r="E168" s="11"/>
      <c r="F168" s="11"/>
      <c r="G168" s="11"/>
      <c r="H168" s="11"/>
      <c r="I168" s="11"/>
      <c r="J168" s="11"/>
      <c r="K168" s="11"/>
      <c r="L168" s="15"/>
      <c r="M168" s="15"/>
      <c r="N168" s="15"/>
      <c r="O168" s="15"/>
      <c r="P168" s="15"/>
      <c r="Q168" s="11"/>
      <c r="R168" s="11"/>
      <c r="S168" s="11"/>
      <c r="T168" s="11"/>
      <c r="U168" s="15"/>
      <c r="V168" s="11"/>
      <c r="W168" s="11"/>
      <c r="X168" s="11"/>
      <c r="Y168" s="11"/>
      <c r="Z168" s="11"/>
    </row>
    <row r="169">
      <c r="A169" s="18"/>
      <c r="B169" s="11"/>
      <c r="C169" s="11"/>
      <c r="D169" s="11"/>
      <c r="E169" s="11"/>
      <c r="F169" s="11"/>
      <c r="G169" s="11"/>
      <c r="H169" s="11"/>
      <c r="I169" s="11"/>
      <c r="J169" s="11"/>
      <c r="K169" s="11"/>
      <c r="L169" s="15"/>
      <c r="M169" s="15"/>
      <c r="N169" s="15"/>
      <c r="O169" s="15"/>
      <c r="P169" s="15"/>
      <c r="Q169" s="11"/>
      <c r="R169" s="11"/>
      <c r="S169" s="11"/>
      <c r="T169" s="11"/>
      <c r="U169" s="15"/>
      <c r="V169" s="11"/>
      <c r="W169" s="11"/>
      <c r="X169" s="11"/>
      <c r="Y169" s="11"/>
      <c r="Z169" s="11"/>
    </row>
    <row r="170">
      <c r="A170" s="18"/>
      <c r="B170" s="11"/>
      <c r="C170" s="11"/>
      <c r="D170" s="11"/>
      <c r="E170" s="11"/>
      <c r="F170" s="11"/>
      <c r="G170" s="11"/>
      <c r="H170" s="11"/>
      <c r="I170" s="11"/>
      <c r="J170" s="11"/>
      <c r="K170" s="11"/>
      <c r="L170" s="15"/>
      <c r="M170" s="15"/>
      <c r="N170" s="15"/>
      <c r="O170" s="15"/>
      <c r="P170" s="15"/>
      <c r="Q170" s="11"/>
      <c r="R170" s="11"/>
      <c r="S170" s="11"/>
      <c r="T170" s="11"/>
      <c r="U170" s="15"/>
      <c r="V170" s="11"/>
      <c r="W170" s="11"/>
      <c r="X170" s="11"/>
      <c r="Y170" s="11"/>
      <c r="Z170" s="11"/>
    </row>
    <row r="171">
      <c r="A171" s="18"/>
      <c r="B171" s="11"/>
      <c r="C171" s="11"/>
      <c r="D171" s="11"/>
      <c r="E171" s="11"/>
      <c r="F171" s="11"/>
      <c r="G171" s="11"/>
      <c r="H171" s="11"/>
      <c r="I171" s="11"/>
      <c r="J171" s="11"/>
      <c r="K171" s="11"/>
      <c r="L171" s="15"/>
      <c r="M171" s="15"/>
      <c r="N171" s="15"/>
      <c r="O171" s="15"/>
      <c r="P171" s="15"/>
      <c r="Q171" s="11"/>
      <c r="R171" s="11"/>
      <c r="S171" s="11"/>
      <c r="T171" s="11"/>
      <c r="U171" s="15"/>
      <c r="V171" s="11"/>
      <c r="W171" s="11"/>
      <c r="X171" s="11"/>
      <c r="Y171" s="11"/>
      <c r="Z171" s="11"/>
    </row>
    <row r="172">
      <c r="A172" s="18"/>
      <c r="B172" s="11"/>
      <c r="C172" s="11"/>
      <c r="D172" s="11"/>
      <c r="E172" s="11"/>
      <c r="F172" s="11"/>
      <c r="G172" s="11"/>
      <c r="H172" s="11"/>
      <c r="I172" s="11"/>
      <c r="J172" s="11"/>
      <c r="K172" s="11"/>
      <c r="L172" s="15"/>
      <c r="M172" s="15"/>
      <c r="N172" s="15"/>
      <c r="O172" s="15"/>
      <c r="P172" s="15"/>
      <c r="Q172" s="11"/>
      <c r="R172" s="11"/>
      <c r="S172" s="11"/>
      <c r="T172" s="11"/>
      <c r="U172" s="15"/>
      <c r="V172" s="11"/>
      <c r="W172" s="11"/>
      <c r="X172" s="11"/>
      <c r="Y172" s="11"/>
      <c r="Z172" s="11"/>
    </row>
    <row r="173">
      <c r="A173" s="18"/>
      <c r="B173" s="11"/>
      <c r="C173" s="11"/>
      <c r="D173" s="11"/>
      <c r="E173" s="11"/>
      <c r="F173" s="11"/>
      <c r="G173" s="11"/>
      <c r="H173" s="11"/>
      <c r="I173" s="11"/>
      <c r="J173" s="11"/>
      <c r="K173" s="11"/>
      <c r="L173" s="15"/>
      <c r="M173" s="15"/>
      <c r="N173" s="15"/>
      <c r="O173" s="15"/>
      <c r="P173" s="15"/>
      <c r="Q173" s="11"/>
      <c r="R173" s="11"/>
      <c r="S173" s="11"/>
      <c r="T173" s="11"/>
      <c r="U173" s="15"/>
      <c r="V173" s="11"/>
      <c r="W173" s="11"/>
      <c r="X173" s="11"/>
      <c r="Y173" s="11"/>
      <c r="Z173" s="11"/>
    </row>
    <row r="174">
      <c r="A174" s="18"/>
      <c r="B174" s="11"/>
      <c r="C174" s="11"/>
      <c r="D174" s="11"/>
      <c r="E174" s="11"/>
      <c r="F174" s="11"/>
      <c r="G174" s="11"/>
      <c r="H174" s="11"/>
      <c r="I174" s="11"/>
      <c r="J174" s="11"/>
      <c r="K174" s="11"/>
      <c r="L174" s="15"/>
      <c r="M174" s="15"/>
      <c r="N174" s="15"/>
      <c r="O174" s="15"/>
      <c r="P174" s="15"/>
      <c r="Q174" s="11"/>
      <c r="R174" s="11"/>
      <c r="S174" s="11"/>
      <c r="T174" s="11"/>
      <c r="U174" s="15"/>
      <c r="V174" s="11"/>
      <c r="W174" s="11"/>
      <c r="X174" s="11"/>
      <c r="Y174" s="11"/>
      <c r="Z174" s="11"/>
    </row>
    <row r="175">
      <c r="A175" s="18"/>
      <c r="B175" s="11"/>
      <c r="C175" s="11"/>
      <c r="D175" s="11"/>
      <c r="E175" s="11"/>
      <c r="F175" s="11"/>
      <c r="G175" s="11"/>
      <c r="H175" s="11"/>
      <c r="I175" s="11"/>
      <c r="J175" s="11"/>
      <c r="K175" s="11"/>
      <c r="L175" s="15"/>
      <c r="M175" s="15"/>
      <c r="N175" s="15"/>
      <c r="O175" s="15"/>
      <c r="P175" s="15"/>
      <c r="Q175" s="11"/>
      <c r="R175" s="11"/>
      <c r="S175" s="11"/>
      <c r="T175" s="11"/>
      <c r="U175" s="15"/>
      <c r="V175" s="11"/>
      <c r="W175" s="11"/>
      <c r="X175" s="11"/>
      <c r="Y175" s="11"/>
      <c r="Z175" s="11"/>
    </row>
    <row r="176">
      <c r="A176" s="18"/>
      <c r="B176" s="11"/>
      <c r="C176" s="11"/>
      <c r="D176" s="11"/>
      <c r="E176" s="11"/>
      <c r="F176" s="11"/>
      <c r="G176" s="11"/>
      <c r="H176" s="11"/>
      <c r="I176" s="11"/>
      <c r="J176" s="11"/>
      <c r="K176" s="11"/>
      <c r="L176" s="15"/>
      <c r="M176" s="15"/>
      <c r="N176" s="15"/>
      <c r="O176" s="15"/>
      <c r="P176" s="15"/>
      <c r="Q176" s="11"/>
      <c r="R176" s="11"/>
      <c r="S176" s="11"/>
      <c r="T176" s="11"/>
      <c r="U176" s="15"/>
      <c r="V176" s="11"/>
      <c r="W176" s="11"/>
      <c r="X176" s="11"/>
      <c r="Y176" s="11"/>
      <c r="Z176" s="11"/>
    </row>
    <row r="177">
      <c r="A177" s="18"/>
      <c r="B177" s="11"/>
      <c r="C177" s="11"/>
      <c r="D177" s="11"/>
      <c r="E177" s="11"/>
      <c r="F177" s="11"/>
      <c r="G177" s="11"/>
      <c r="H177" s="11"/>
      <c r="I177" s="11"/>
      <c r="J177" s="11"/>
      <c r="K177" s="11"/>
      <c r="L177" s="15"/>
      <c r="M177" s="15"/>
      <c r="N177" s="15"/>
      <c r="O177" s="15"/>
      <c r="P177" s="15"/>
      <c r="Q177" s="11"/>
      <c r="R177" s="11"/>
      <c r="S177" s="11"/>
      <c r="T177" s="11"/>
      <c r="U177" s="15"/>
      <c r="V177" s="11"/>
      <c r="W177" s="11"/>
      <c r="X177" s="11"/>
      <c r="Y177" s="11"/>
      <c r="Z177" s="11"/>
    </row>
    <row r="178">
      <c r="A178" s="18"/>
      <c r="B178" s="11"/>
      <c r="C178" s="11"/>
      <c r="D178" s="11"/>
      <c r="E178" s="11"/>
      <c r="F178" s="11"/>
      <c r="G178" s="11"/>
      <c r="H178" s="11"/>
      <c r="I178" s="11"/>
      <c r="J178" s="11"/>
      <c r="K178" s="11"/>
      <c r="L178" s="15"/>
      <c r="M178" s="15"/>
      <c r="N178" s="15"/>
      <c r="O178" s="15"/>
      <c r="P178" s="15"/>
      <c r="Q178" s="11"/>
      <c r="R178" s="11"/>
      <c r="S178" s="11"/>
      <c r="T178" s="11"/>
      <c r="U178" s="15"/>
      <c r="V178" s="11"/>
      <c r="W178" s="11"/>
      <c r="X178" s="11"/>
      <c r="Y178" s="11"/>
      <c r="Z178" s="11"/>
    </row>
    <row r="179">
      <c r="A179" s="18"/>
      <c r="B179" s="11"/>
      <c r="C179" s="11"/>
      <c r="D179" s="11"/>
      <c r="E179" s="11"/>
      <c r="F179" s="11"/>
      <c r="G179" s="11"/>
      <c r="H179" s="11"/>
      <c r="I179" s="11"/>
      <c r="J179" s="11"/>
      <c r="K179" s="11"/>
      <c r="L179" s="15"/>
      <c r="M179" s="15"/>
      <c r="N179" s="15"/>
      <c r="O179" s="15"/>
      <c r="P179" s="15"/>
      <c r="Q179" s="11"/>
      <c r="R179" s="11"/>
      <c r="S179" s="11"/>
      <c r="T179" s="11"/>
      <c r="U179" s="15"/>
      <c r="V179" s="11"/>
      <c r="W179" s="11"/>
      <c r="X179" s="11"/>
      <c r="Y179" s="11"/>
      <c r="Z179" s="11"/>
    </row>
    <row r="180">
      <c r="A180" s="18"/>
      <c r="B180" s="11"/>
      <c r="C180" s="11"/>
      <c r="D180" s="11"/>
      <c r="E180" s="11"/>
      <c r="F180" s="11"/>
      <c r="G180" s="11"/>
      <c r="H180" s="11"/>
      <c r="I180" s="11"/>
      <c r="J180" s="11"/>
      <c r="K180" s="11"/>
      <c r="L180" s="15"/>
      <c r="M180" s="15"/>
      <c r="N180" s="15"/>
      <c r="O180" s="15"/>
      <c r="P180" s="15"/>
      <c r="Q180" s="11"/>
      <c r="R180" s="11"/>
      <c r="S180" s="11"/>
      <c r="T180" s="11"/>
      <c r="U180" s="15"/>
      <c r="V180" s="11"/>
      <c r="W180" s="11"/>
      <c r="X180" s="11"/>
      <c r="Y180" s="11"/>
      <c r="Z180" s="11"/>
    </row>
    <row r="181">
      <c r="A181" s="18"/>
      <c r="B181" s="11"/>
      <c r="C181" s="11"/>
      <c r="D181" s="11"/>
      <c r="E181" s="11"/>
      <c r="F181" s="11"/>
      <c r="G181" s="11"/>
      <c r="H181" s="11"/>
      <c r="I181" s="11"/>
      <c r="J181" s="11"/>
      <c r="K181" s="11"/>
      <c r="L181" s="15"/>
      <c r="M181" s="15"/>
      <c r="N181" s="15"/>
      <c r="O181" s="15"/>
      <c r="P181" s="15"/>
      <c r="Q181" s="11"/>
      <c r="R181" s="11"/>
      <c r="S181" s="11"/>
      <c r="T181" s="11"/>
      <c r="U181" s="15"/>
      <c r="V181" s="11"/>
      <c r="W181" s="11"/>
      <c r="X181" s="11"/>
      <c r="Y181" s="11"/>
      <c r="Z181" s="11"/>
    </row>
    <row r="182">
      <c r="A182" s="18"/>
      <c r="B182" s="11"/>
      <c r="C182" s="11"/>
      <c r="D182" s="11"/>
      <c r="E182" s="11"/>
      <c r="F182" s="11"/>
      <c r="G182" s="11"/>
      <c r="H182" s="11"/>
      <c r="I182" s="11"/>
      <c r="J182" s="11"/>
      <c r="K182" s="11"/>
      <c r="L182" s="15"/>
      <c r="M182" s="15"/>
      <c r="N182" s="15"/>
      <c r="O182" s="15"/>
      <c r="P182" s="15"/>
      <c r="Q182" s="11"/>
      <c r="R182" s="11"/>
      <c r="S182" s="11"/>
      <c r="T182" s="11"/>
      <c r="U182" s="15"/>
      <c r="V182" s="11"/>
      <c r="W182" s="11"/>
      <c r="X182" s="11"/>
      <c r="Y182" s="11"/>
      <c r="Z182" s="11"/>
    </row>
    <row r="183">
      <c r="A183" s="18"/>
      <c r="B183" s="11"/>
      <c r="C183" s="11"/>
      <c r="D183" s="11"/>
      <c r="E183" s="11"/>
      <c r="F183" s="11"/>
      <c r="G183" s="11"/>
      <c r="H183" s="11"/>
      <c r="I183" s="11"/>
      <c r="J183" s="11"/>
      <c r="K183" s="11"/>
      <c r="L183" s="15"/>
      <c r="M183" s="15"/>
      <c r="N183" s="15"/>
      <c r="O183" s="15"/>
      <c r="P183" s="15"/>
      <c r="Q183" s="11"/>
      <c r="R183" s="11"/>
      <c r="S183" s="11"/>
      <c r="T183" s="11"/>
      <c r="U183" s="15"/>
      <c r="V183" s="11"/>
      <c r="W183" s="11"/>
      <c r="X183" s="11"/>
      <c r="Y183" s="11"/>
      <c r="Z183" s="11"/>
    </row>
    <row r="184">
      <c r="A184" s="18"/>
      <c r="B184" s="11"/>
      <c r="C184" s="11"/>
      <c r="D184" s="11"/>
      <c r="E184" s="11"/>
      <c r="F184" s="11"/>
      <c r="G184" s="11"/>
      <c r="H184" s="11"/>
      <c r="I184" s="11"/>
      <c r="J184" s="11"/>
      <c r="K184" s="11"/>
      <c r="L184" s="15"/>
      <c r="M184" s="15"/>
      <c r="N184" s="15"/>
      <c r="O184" s="15"/>
      <c r="P184" s="15"/>
      <c r="Q184" s="11"/>
      <c r="R184" s="11"/>
      <c r="S184" s="11"/>
      <c r="T184" s="11"/>
      <c r="U184" s="15"/>
      <c r="V184" s="11"/>
      <c r="W184" s="11"/>
      <c r="X184" s="11"/>
      <c r="Y184" s="11"/>
      <c r="Z184" s="11"/>
    </row>
    <row r="185">
      <c r="A185" s="18"/>
      <c r="B185" s="11"/>
      <c r="C185" s="11"/>
      <c r="D185" s="11"/>
      <c r="E185" s="11"/>
      <c r="F185" s="11"/>
      <c r="G185" s="11"/>
      <c r="H185" s="11"/>
      <c r="I185" s="11"/>
      <c r="J185" s="11"/>
      <c r="K185" s="11"/>
      <c r="L185" s="15"/>
      <c r="M185" s="15"/>
      <c r="N185" s="15"/>
      <c r="O185" s="15"/>
      <c r="P185" s="15"/>
      <c r="Q185" s="11"/>
      <c r="R185" s="11"/>
      <c r="S185" s="11"/>
      <c r="T185" s="11"/>
      <c r="U185" s="15"/>
      <c r="V185" s="11"/>
      <c r="W185" s="11"/>
      <c r="X185" s="11"/>
      <c r="Y185" s="11"/>
      <c r="Z185" s="11"/>
    </row>
    <row r="186">
      <c r="A186" s="18"/>
      <c r="B186" s="11"/>
      <c r="C186" s="11"/>
      <c r="D186" s="11"/>
      <c r="E186" s="11"/>
      <c r="F186" s="11"/>
      <c r="G186" s="11"/>
      <c r="H186" s="11"/>
      <c r="I186" s="11"/>
      <c r="J186" s="11"/>
      <c r="K186" s="11"/>
      <c r="L186" s="15"/>
      <c r="M186" s="15"/>
      <c r="N186" s="15"/>
      <c r="O186" s="15"/>
      <c r="P186" s="15"/>
      <c r="Q186" s="11"/>
      <c r="R186" s="11"/>
      <c r="S186" s="11"/>
      <c r="T186" s="11"/>
      <c r="U186" s="15"/>
      <c r="V186" s="11"/>
      <c r="W186" s="11"/>
      <c r="X186" s="11"/>
      <c r="Y186" s="11"/>
      <c r="Z186" s="11"/>
    </row>
    <row r="187">
      <c r="A187" s="18"/>
      <c r="B187" s="11"/>
      <c r="C187" s="11"/>
      <c r="D187" s="11"/>
      <c r="E187" s="11"/>
      <c r="F187" s="11"/>
      <c r="G187" s="11"/>
      <c r="H187" s="11"/>
      <c r="I187" s="11"/>
      <c r="J187" s="11"/>
      <c r="K187" s="11"/>
      <c r="L187" s="15"/>
      <c r="M187" s="15"/>
      <c r="N187" s="15"/>
      <c r="O187" s="15"/>
      <c r="P187" s="15"/>
      <c r="Q187" s="11"/>
      <c r="R187" s="11"/>
      <c r="S187" s="11"/>
      <c r="T187" s="11"/>
      <c r="U187" s="15"/>
      <c r="V187" s="11"/>
      <c r="W187" s="11"/>
      <c r="X187" s="11"/>
      <c r="Y187" s="11"/>
      <c r="Z187" s="11"/>
    </row>
    <row r="188">
      <c r="A188" s="18"/>
      <c r="B188" s="11"/>
      <c r="C188" s="11"/>
      <c r="D188" s="11"/>
      <c r="E188" s="11"/>
      <c r="F188" s="11"/>
      <c r="G188" s="11"/>
      <c r="H188" s="11"/>
      <c r="I188" s="11"/>
      <c r="J188" s="11"/>
      <c r="K188" s="11"/>
      <c r="L188" s="15"/>
      <c r="M188" s="15"/>
      <c r="N188" s="15"/>
      <c r="O188" s="15"/>
      <c r="P188" s="15"/>
      <c r="Q188" s="11"/>
      <c r="R188" s="11"/>
      <c r="S188" s="11"/>
      <c r="T188" s="11"/>
      <c r="U188" s="15"/>
      <c r="V188" s="11"/>
      <c r="W188" s="11"/>
      <c r="X188" s="11"/>
      <c r="Y188" s="11"/>
      <c r="Z188" s="11"/>
    </row>
    <row r="189">
      <c r="A189" s="18"/>
      <c r="B189" s="11"/>
      <c r="C189" s="11"/>
      <c r="D189" s="11"/>
      <c r="E189" s="11"/>
      <c r="F189" s="11"/>
      <c r="G189" s="11"/>
      <c r="H189" s="11"/>
      <c r="I189" s="11"/>
      <c r="J189" s="11"/>
      <c r="K189" s="11"/>
      <c r="L189" s="15"/>
      <c r="M189" s="15"/>
      <c r="N189" s="15"/>
      <c r="O189" s="15"/>
      <c r="P189" s="15"/>
      <c r="Q189" s="11"/>
      <c r="R189" s="11"/>
      <c r="S189" s="11"/>
      <c r="T189" s="11"/>
      <c r="U189" s="15"/>
      <c r="V189" s="11"/>
      <c r="W189" s="11"/>
      <c r="X189" s="11"/>
      <c r="Y189" s="11"/>
      <c r="Z189" s="11"/>
    </row>
    <row r="190">
      <c r="A190" s="18"/>
      <c r="B190" s="11"/>
      <c r="C190" s="11"/>
      <c r="D190" s="11"/>
      <c r="E190" s="11"/>
      <c r="F190" s="11"/>
      <c r="G190" s="11"/>
      <c r="H190" s="11"/>
      <c r="I190" s="11"/>
      <c r="J190" s="11"/>
      <c r="K190" s="11"/>
      <c r="L190" s="15"/>
      <c r="M190" s="15"/>
      <c r="N190" s="15"/>
      <c r="O190" s="15"/>
      <c r="P190" s="15"/>
      <c r="Q190" s="11"/>
      <c r="R190" s="11"/>
      <c r="S190" s="11"/>
      <c r="T190" s="11"/>
      <c r="U190" s="15"/>
      <c r="V190" s="11"/>
      <c r="W190" s="11"/>
      <c r="X190" s="11"/>
      <c r="Y190" s="11"/>
      <c r="Z190" s="11"/>
    </row>
    <row r="191">
      <c r="A191" s="18"/>
      <c r="B191" s="11"/>
      <c r="C191" s="11"/>
      <c r="D191" s="11"/>
      <c r="E191" s="11"/>
      <c r="F191" s="11"/>
      <c r="G191" s="11"/>
      <c r="H191" s="11"/>
      <c r="I191" s="11"/>
      <c r="J191" s="11"/>
      <c r="K191" s="11"/>
      <c r="L191" s="15"/>
      <c r="M191" s="15"/>
      <c r="N191" s="15"/>
      <c r="O191" s="15"/>
      <c r="P191" s="15"/>
      <c r="Q191" s="11"/>
      <c r="R191" s="11"/>
      <c r="S191" s="11"/>
      <c r="T191" s="11"/>
      <c r="U191" s="15"/>
      <c r="V191" s="11"/>
      <c r="W191" s="11"/>
      <c r="X191" s="11"/>
      <c r="Y191" s="11"/>
      <c r="Z191" s="11"/>
    </row>
    <row r="192">
      <c r="A192" s="18"/>
      <c r="B192" s="11"/>
      <c r="C192" s="11"/>
      <c r="D192" s="11"/>
      <c r="E192" s="11"/>
      <c r="F192" s="11"/>
      <c r="G192" s="11"/>
      <c r="H192" s="11"/>
      <c r="I192" s="11"/>
      <c r="J192" s="11"/>
      <c r="K192" s="11"/>
      <c r="L192" s="15"/>
      <c r="M192" s="15"/>
      <c r="N192" s="15"/>
      <c r="O192" s="15"/>
      <c r="P192" s="15"/>
      <c r="Q192" s="11"/>
      <c r="R192" s="11"/>
      <c r="S192" s="11"/>
      <c r="T192" s="11"/>
      <c r="U192" s="15"/>
      <c r="V192" s="11"/>
      <c r="W192" s="11"/>
      <c r="X192" s="11"/>
      <c r="Y192" s="11"/>
      <c r="Z192" s="11"/>
    </row>
    <row r="193">
      <c r="A193" s="18"/>
      <c r="B193" s="11"/>
      <c r="C193" s="11"/>
      <c r="D193" s="11"/>
      <c r="E193" s="11"/>
      <c r="F193" s="11"/>
      <c r="G193" s="11"/>
      <c r="H193" s="11"/>
      <c r="I193" s="11"/>
      <c r="J193" s="11"/>
      <c r="K193" s="11"/>
      <c r="L193" s="15"/>
      <c r="M193" s="15"/>
      <c r="N193" s="15"/>
      <c r="O193" s="15"/>
      <c r="P193" s="15"/>
      <c r="Q193" s="11"/>
      <c r="R193" s="11"/>
      <c r="S193" s="11"/>
      <c r="T193" s="11"/>
      <c r="U193" s="15"/>
      <c r="V193" s="11"/>
      <c r="W193" s="11"/>
      <c r="X193" s="11"/>
      <c r="Y193" s="11"/>
      <c r="Z193" s="11"/>
    </row>
    <row r="194">
      <c r="A194" s="18"/>
      <c r="B194" s="11"/>
      <c r="C194" s="11"/>
      <c r="D194" s="11"/>
      <c r="E194" s="11"/>
      <c r="F194" s="11"/>
      <c r="G194" s="11"/>
      <c r="H194" s="11"/>
      <c r="I194" s="11"/>
      <c r="J194" s="11"/>
      <c r="K194" s="11"/>
      <c r="L194" s="15"/>
      <c r="M194" s="15"/>
      <c r="N194" s="15"/>
      <c r="O194" s="15"/>
      <c r="P194" s="15"/>
      <c r="Q194" s="11"/>
      <c r="R194" s="11"/>
      <c r="S194" s="11"/>
      <c r="T194" s="11"/>
      <c r="U194" s="15"/>
      <c r="V194" s="11"/>
      <c r="W194" s="11"/>
      <c r="X194" s="11"/>
      <c r="Y194" s="11"/>
      <c r="Z194" s="11"/>
    </row>
    <row r="195">
      <c r="A195" s="18"/>
      <c r="B195" s="11"/>
      <c r="C195" s="11"/>
      <c r="D195" s="11"/>
      <c r="E195" s="11"/>
      <c r="F195" s="11"/>
      <c r="G195" s="11"/>
      <c r="H195" s="11"/>
      <c r="I195" s="11"/>
      <c r="J195" s="11"/>
      <c r="K195" s="11"/>
      <c r="L195" s="15"/>
      <c r="M195" s="15"/>
      <c r="N195" s="15"/>
      <c r="O195" s="15"/>
      <c r="P195" s="15"/>
      <c r="Q195" s="11"/>
      <c r="R195" s="11"/>
      <c r="S195" s="11"/>
      <c r="T195" s="11"/>
      <c r="U195" s="15"/>
      <c r="V195" s="11"/>
      <c r="W195" s="11"/>
      <c r="X195" s="11"/>
      <c r="Y195" s="11"/>
      <c r="Z195" s="11"/>
    </row>
    <row r="196">
      <c r="A196" s="18"/>
      <c r="B196" s="11"/>
      <c r="C196" s="11"/>
      <c r="D196" s="11"/>
      <c r="E196" s="11"/>
      <c r="F196" s="11"/>
      <c r="G196" s="11"/>
      <c r="H196" s="11"/>
      <c r="I196" s="11"/>
      <c r="J196" s="11"/>
      <c r="K196" s="11"/>
      <c r="L196" s="15"/>
      <c r="M196" s="15"/>
      <c r="N196" s="15"/>
      <c r="O196" s="15"/>
      <c r="P196" s="15"/>
      <c r="Q196" s="11"/>
      <c r="R196" s="11"/>
      <c r="S196" s="11"/>
      <c r="T196" s="11"/>
      <c r="U196" s="15"/>
      <c r="V196" s="11"/>
      <c r="W196" s="11"/>
      <c r="X196" s="11"/>
      <c r="Y196" s="11"/>
      <c r="Z196" s="11"/>
    </row>
    <row r="197">
      <c r="A197" s="18"/>
      <c r="B197" s="11"/>
      <c r="C197" s="11"/>
      <c r="D197" s="11"/>
      <c r="E197" s="11"/>
      <c r="F197" s="11"/>
      <c r="G197" s="11"/>
      <c r="H197" s="11"/>
      <c r="I197" s="11"/>
      <c r="J197" s="11"/>
      <c r="K197" s="11"/>
      <c r="L197" s="15"/>
      <c r="M197" s="15"/>
      <c r="N197" s="15"/>
      <c r="O197" s="15"/>
      <c r="P197" s="15"/>
      <c r="Q197" s="11"/>
      <c r="R197" s="11"/>
      <c r="S197" s="11"/>
      <c r="T197" s="11"/>
      <c r="U197" s="15"/>
      <c r="V197" s="11"/>
      <c r="W197" s="11"/>
      <c r="X197" s="11"/>
      <c r="Y197" s="11"/>
      <c r="Z197" s="11"/>
    </row>
    <row r="198">
      <c r="A198" s="18"/>
      <c r="B198" s="11"/>
      <c r="C198" s="11"/>
      <c r="D198" s="11"/>
      <c r="E198" s="11"/>
      <c r="F198" s="11"/>
      <c r="G198" s="11"/>
      <c r="H198" s="11"/>
      <c r="I198" s="11"/>
      <c r="J198" s="11"/>
      <c r="K198" s="11"/>
      <c r="L198" s="15"/>
      <c r="M198" s="15"/>
      <c r="N198" s="15"/>
      <c r="O198" s="15"/>
      <c r="P198" s="15"/>
      <c r="Q198" s="11"/>
      <c r="R198" s="11"/>
      <c r="S198" s="11"/>
      <c r="T198" s="11"/>
      <c r="U198" s="15"/>
      <c r="V198" s="11"/>
      <c r="W198" s="11"/>
      <c r="X198" s="11"/>
      <c r="Y198" s="11"/>
      <c r="Z198" s="11"/>
    </row>
    <row r="199">
      <c r="A199" s="18"/>
      <c r="B199" s="11"/>
      <c r="C199" s="11"/>
      <c r="D199" s="11"/>
      <c r="E199" s="11"/>
      <c r="F199" s="11"/>
      <c r="G199" s="11"/>
      <c r="H199" s="11"/>
      <c r="I199" s="11"/>
      <c r="J199" s="11"/>
      <c r="K199" s="11"/>
      <c r="L199" s="15"/>
      <c r="M199" s="15"/>
      <c r="N199" s="15"/>
      <c r="O199" s="15"/>
      <c r="P199" s="15"/>
      <c r="Q199" s="11"/>
      <c r="R199" s="11"/>
      <c r="S199" s="11"/>
      <c r="T199" s="11"/>
      <c r="U199" s="15"/>
      <c r="V199" s="11"/>
      <c r="W199" s="11"/>
      <c r="X199" s="11"/>
      <c r="Y199" s="11"/>
      <c r="Z199" s="11"/>
    </row>
    <row r="200">
      <c r="A200" s="18"/>
      <c r="B200" s="11"/>
      <c r="C200" s="11"/>
      <c r="D200" s="11"/>
      <c r="E200" s="11"/>
      <c r="F200" s="11"/>
      <c r="G200" s="11"/>
      <c r="H200" s="11"/>
      <c r="I200" s="11"/>
      <c r="J200" s="11"/>
      <c r="K200" s="11"/>
      <c r="L200" s="15"/>
      <c r="M200" s="15"/>
      <c r="N200" s="15"/>
      <c r="O200" s="15"/>
      <c r="P200" s="15"/>
      <c r="Q200" s="11"/>
      <c r="R200" s="11"/>
      <c r="S200" s="11"/>
      <c r="T200" s="11"/>
      <c r="U200" s="15"/>
      <c r="V200" s="11"/>
      <c r="W200" s="11"/>
      <c r="X200" s="11"/>
      <c r="Y200" s="11"/>
      <c r="Z200" s="11"/>
    </row>
    <row r="201">
      <c r="A201" s="18"/>
      <c r="B201" s="11"/>
      <c r="C201" s="11"/>
      <c r="D201" s="11"/>
      <c r="E201" s="11"/>
      <c r="F201" s="11"/>
      <c r="G201" s="11"/>
      <c r="H201" s="11"/>
      <c r="I201" s="11"/>
      <c r="J201" s="11"/>
      <c r="K201" s="11"/>
      <c r="L201" s="15"/>
      <c r="M201" s="15"/>
      <c r="N201" s="15"/>
      <c r="O201" s="15"/>
      <c r="P201" s="15"/>
      <c r="Q201" s="11"/>
      <c r="R201" s="11"/>
      <c r="S201" s="11"/>
      <c r="T201" s="11"/>
      <c r="U201" s="15"/>
      <c r="V201" s="11"/>
      <c r="W201" s="11"/>
      <c r="X201" s="11"/>
      <c r="Y201" s="11"/>
      <c r="Z201" s="11"/>
    </row>
    <row r="202">
      <c r="A202" s="18"/>
      <c r="B202" s="11"/>
      <c r="C202" s="11"/>
      <c r="D202" s="11"/>
      <c r="E202" s="11"/>
      <c r="F202" s="11"/>
      <c r="G202" s="11"/>
      <c r="H202" s="11"/>
      <c r="I202" s="11"/>
      <c r="J202" s="11"/>
      <c r="K202" s="11"/>
      <c r="L202" s="15"/>
      <c r="M202" s="15"/>
      <c r="N202" s="15"/>
      <c r="O202" s="15"/>
      <c r="P202" s="15"/>
      <c r="Q202" s="11"/>
      <c r="R202" s="11"/>
      <c r="S202" s="11"/>
      <c r="T202" s="11"/>
      <c r="U202" s="15"/>
      <c r="V202" s="11"/>
      <c r="W202" s="11"/>
      <c r="X202" s="11"/>
      <c r="Y202" s="11"/>
      <c r="Z202" s="11"/>
    </row>
    <row r="203">
      <c r="A203" s="18"/>
      <c r="B203" s="11"/>
      <c r="C203" s="11"/>
      <c r="D203" s="11"/>
      <c r="E203" s="11"/>
      <c r="F203" s="11"/>
      <c r="G203" s="11"/>
      <c r="H203" s="11"/>
      <c r="I203" s="11"/>
      <c r="J203" s="11"/>
      <c r="K203" s="11"/>
      <c r="L203" s="15"/>
      <c r="M203" s="15"/>
      <c r="N203" s="15"/>
      <c r="O203" s="15"/>
      <c r="P203" s="15"/>
      <c r="Q203" s="11"/>
      <c r="R203" s="11"/>
      <c r="S203" s="11"/>
      <c r="T203" s="11"/>
      <c r="U203" s="15"/>
      <c r="V203" s="11"/>
      <c r="W203" s="11"/>
      <c r="X203" s="11"/>
      <c r="Y203" s="11"/>
      <c r="Z203" s="11"/>
    </row>
    <row r="204">
      <c r="A204" s="18"/>
      <c r="B204" s="11"/>
      <c r="C204" s="11"/>
      <c r="D204" s="11"/>
      <c r="E204" s="11"/>
      <c r="F204" s="11"/>
      <c r="G204" s="11"/>
      <c r="H204" s="11"/>
      <c r="I204" s="11"/>
      <c r="J204" s="11"/>
      <c r="K204" s="11"/>
      <c r="L204" s="15"/>
      <c r="M204" s="15"/>
      <c r="N204" s="15"/>
      <c r="O204" s="15"/>
      <c r="P204" s="15"/>
      <c r="Q204" s="11"/>
      <c r="R204" s="11"/>
      <c r="S204" s="11"/>
      <c r="T204" s="11"/>
      <c r="U204" s="15"/>
      <c r="V204" s="11"/>
      <c r="W204" s="11"/>
      <c r="X204" s="11"/>
      <c r="Y204" s="11"/>
      <c r="Z204" s="11"/>
    </row>
    <row r="205">
      <c r="A205" s="18"/>
      <c r="B205" s="11"/>
      <c r="C205" s="11"/>
      <c r="D205" s="11"/>
      <c r="E205" s="11"/>
      <c r="F205" s="11"/>
      <c r="G205" s="11"/>
      <c r="H205" s="11"/>
      <c r="I205" s="11"/>
      <c r="J205" s="11"/>
      <c r="K205" s="11"/>
      <c r="L205" s="15"/>
      <c r="M205" s="15"/>
      <c r="N205" s="15"/>
      <c r="O205" s="15"/>
      <c r="P205" s="15"/>
      <c r="Q205" s="11"/>
      <c r="R205" s="11"/>
      <c r="S205" s="11"/>
      <c r="T205" s="11"/>
      <c r="U205" s="15"/>
      <c r="V205" s="11"/>
      <c r="W205" s="11"/>
      <c r="X205" s="11"/>
      <c r="Y205" s="11"/>
      <c r="Z205" s="11"/>
    </row>
    <row r="206">
      <c r="A206" s="18"/>
      <c r="B206" s="11"/>
      <c r="C206" s="11"/>
      <c r="D206" s="11"/>
      <c r="E206" s="11"/>
      <c r="F206" s="11"/>
      <c r="G206" s="11"/>
      <c r="H206" s="11"/>
      <c r="I206" s="11"/>
      <c r="J206" s="11"/>
      <c r="K206" s="11"/>
      <c r="L206" s="15"/>
      <c r="M206" s="15"/>
      <c r="N206" s="15"/>
      <c r="O206" s="15"/>
      <c r="P206" s="15"/>
      <c r="Q206" s="11"/>
      <c r="R206" s="11"/>
      <c r="S206" s="11"/>
      <c r="T206" s="11"/>
      <c r="U206" s="15"/>
      <c r="V206" s="11"/>
      <c r="W206" s="11"/>
      <c r="X206" s="11"/>
      <c r="Y206" s="11"/>
      <c r="Z206" s="11"/>
    </row>
    <row r="207">
      <c r="A207" s="18"/>
      <c r="B207" s="11"/>
      <c r="C207" s="11"/>
      <c r="D207" s="11"/>
      <c r="E207" s="11"/>
      <c r="F207" s="11"/>
      <c r="G207" s="11"/>
      <c r="H207" s="11"/>
      <c r="I207" s="11"/>
      <c r="J207" s="11"/>
      <c r="K207" s="11"/>
      <c r="L207" s="15"/>
      <c r="M207" s="15"/>
      <c r="N207" s="15"/>
      <c r="O207" s="15"/>
      <c r="P207" s="15"/>
      <c r="Q207" s="11"/>
      <c r="R207" s="11"/>
      <c r="S207" s="11"/>
      <c r="T207" s="11"/>
      <c r="U207" s="15"/>
      <c r="V207" s="11"/>
      <c r="W207" s="11"/>
      <c r="X207" s="11"/>
      <c r="Y207" s="11"/>
      <c r="Z207" s="11"/>
    </row>
    <row r="208">
      <c r="A208" s="18"/>
      <c r="B208" s="11"/>
      <c r="C208" s="11"/>
      <c r="D208" s="11"/>
      <c r="E208" s="11"/>
      <c r="F208" s="11"/>
      <c r="G208" s="11"/>
      <c r="H208" s="11"/>
      <c r="I208" s="11"/>
      <c r="J208" s="11"/>
      <c r="K208" s="11"/>
      <c r="L208" s="15"/>
      <c r="M208" s="15"/>
      <c r="N208" s="15"/>
      <c r="O208" s="15"/>
      <c r="P208" s="15"/>
      <c r="Q208" s="11"/>
      <c r="R208" s="11"/>
      <c r="S208" s="11"/>
      <c r="T208" s="11"/>
      <c r="U208" s="15"/>
      <c r="V208" s="11"/>
      <c r="W208" s="11"/>
      <c r="X208" s="11"/>
      <c r="Y208" s="11"/>
      <c r="Z208" s="11"/>
    </row>
    <row r="209">
      <c r="A209" s="18"/>
      <c r="B209" s="11"/>
      <c r="C209" s="11"/>
      <c r="D209" s="11"/>
      <c r="E209" s="11"/>
      <c r="F209" s="11"/>
      <c r="G209" s="11"/>
      <c r="H209" s="11"/>
      <c r="I209" s="11"/>
      <c r="J209" s="11"/>
      <c r="K209" s="11"/>
      <c r="L209" s="15"/>
      <c r="M209" s="15"/>
      <c r="N209" s="15"/>
      <c r="O209" s="15"/>
      <c r="P209" s="15"/>
      <c r="Q209" s="11"/>
      <c r="R209" s="11"/>
      <c r="S209" s="11"/>
      <c r="T209" s="11"/>
      <c r="U209" s="15"/>
      <c r="V209" s="11"/>
      <c r="W209" s="11"/>
      <c r="X209" s="11"/>
      <c r="Y209" s="11"/>
      <c r="Z209" s="11"/>
    </row>
    <row r="210">
      <c r="A210" s="18"/>
      <c r="B210" s="11"/>
      <c r="C210" s="11"/>
      <c r="D210" s="11"/>
      <c r="E210" s="11"/>
      <c r="F210" s="11"/>
      <c r="G210" s="11"/>
      <c r="H210" s="11"/>
      <c r="I210" s="11"/>
      <c r="J210" s="11"/>
      <c r="K210" s="11"/>
      <c r="L210" s="15"/>
      <c r="M210" s="15"/>
      <c r="N210" s="15"/>
      <c r="O210" s="15"/>
      <c r="P210" s="15"/>
      <c r="Q210" s="11"/>
      <c r="R210" s="11"/>
      <c r="S210" s="11"/>
      <c r="T210" s="11"/>
      <c r="U210" s="15"/>
      <c r="V210" s="11"/>
      <c r="W210" s="11"/>
      <c r="X210" s="11"/>
      <c r="Y210" s="11"/>
      <c r="Z210" s="11"/>
    </row>
    <row r="211">
      <c r="A211" s="18"/>
      <c r="B211" s="11"/>
      <c r="C211" s="11"/>
      <c r="D211" s="11"/>
      <c r="E211" s="11"/>
      <c r="F211" s="11"/>
      <c r="G211" s="11"/>
      <c r="H211" s="11"/>
      <c r="I211" s="11"/>
      <c r="J211" s="11"/>
      <c r="K211" s="11"/>
      <c r="L211" s="15"/>
      <c r="M211" s="15"/>
      <c r="N211" s="15"/>
      <c r="O211" s="15"/>
      <c r="P211" s="15"/>
      <c r="Q211" s="11"/>
      <c r="R211" s="11"/>
      <c r="S211" s="11"/>
      <c r="T211" s="11"/>
      <c r="U211" s="15"/>
      <c r="V211" s="11"/>
      <c r="W211" s="11"/>
      <c r="X211" s="11"/>
      <c r="Y211" s="11"/>
      <c r="Z211" s="11"/>
    </row>
    <row r="212">
      <c r="A212" s="18"/>
      <c r="B212" s="11"/>
      <c r="C212" s="11"/>
      <c r="D212" s="11"/>
      <c r="E212" s="11"/>
      <c r="F212" s="11"/>
      <c r="G212" s="11"/>
      <c r="H212" s="11"/>
      <c r="I212" s="11"/>
      <c r="J212" s="11"/>
      <c r="K212" s="11"/>
      <c r="L212" s="15"/>
      <c r="M212" s="15"/>
      <c r="N212" s="15"/>
      <c r="O212" s="15"/>
      <c r="P212" s="15"/>
      <c r="Q212" s="11"/>
      <c r="R212" s="11"/>
      <c r="S212" s="11"/>
      <c r="T212" s="11"/>
      <c r="U212" s="15"/>
      <c r="V212" s="11"/>
      <c r="W212" s="11"/>
      <c r="X212" s="11"/>
      <c r="Y212" s="11"/>
      <c r="Z212" s="11"/>
    </row>
    <row r="213">
      <c r="A213" s="18"/>
      <c r="B213" s="11"/>
      <c r="C213" s="11"/>
      <c r="D213" s="11"/>
      <c r="E213" s="11"/>
      <c r="F213" s="11"/>
      <c r="G213" s="11"/>
      <c r="H213" s="11"/>
      <c r="I213" s="11"/>
      <c r="J213" s="11"/>
      <c r="K213" s="11"/>
      <c r="L213" s="15"/>
      <c r="M213" s="15"/>
      <c r="N213" s="15"/>
      <c r="O213" s="15"/>
      <c r="P213" s="15"/>
      <c r="Q213" s="11"/>
      <c r="R213" s="11"/>
      <c r="S213" s="11"/>
      <c r="T213" s="11"/>
      <c r="U213" s="15"/>
      <c r="V213" s="11"/>
      <c r="W213" s="11"/>
      <c r="X213" s="11"/>
      <c r="Y213" s="11"/>
      <c r="Z213" s="11"/>
    </row>
    <row r="214">
      <c r="A214" s="18"/>
      <c r="B214" s="11"/>
      <c r="C214" s="11"/>
      <c r="D214" s="11"/>
      <c r="E214" s="11"/>
      <c r="F214" s="11"/>
      <c r="G214" s="11"/>
      <c r="H214" s="11"/>
      <c r="I214" s="11"/>
      <c r="J214" s="11"/>
      <c r="K214" s="11"/>
      <c r="L214" s="15"/>
      <c r="M214" s="15"/>
      <c r="N214" s="15"/>
      <c r="O214" s="15"/>
      <c r="P214" s="15"/>
      <c r="Q214" s="11"/>
      <c r="R214" s="11"/>
      <c r="S214" s="11"/>
      <c r="T214" s="11"/>
      <c r="U214" s="15"/>
      <c r="V214" s="11"/>
      <c r="W214" s="11"/>
      <c r="X214" s="11"/>
      <c r="Y214" s="11"/>
      <c r="Z214" s="11"/>
    </row>
    <row r="215">
      <c r="A215" s="18"/>
      <c r="B215" s="11"/>
      <c r="C215" s="11"/>
      <c r="D215" s="11"/>
      <c r="E215" s="11"/>
      <c r="F215" s="11"/>
      <c r="G215" s="11"/>
      <c r="H215" s="11"/>
      <c r="I215" s="11"/>
      <c r="J215" s="11"/>
      <c r="K215" s="11"/>
      <c r="L215" s="15"/>
      <c r="M215" s="15"/>
      <c r="N215" s="15"/>
      <c r="O215" s="15"/>
      <c r="P215" s="15"/>
      <c r="Q215" s="11"/>
      <c r="R215" s="11"/>
      <c r="S215" s="11"/>
      <c r="T215" s="11"/>
      <c r="U215" s="15"/>
      <c r="V215" s="11"/>
      <c r="W215" s="11"/>
      <c r="X215" s="11"/>
      <c r="Y215" s="11"/>
      <c r="Z215" s="11"/>
    </row>
    <row r="216">
      <c r="A216" s="18"/>
      <c r="B216" s="11"/>
      <c r="C216" s="11"/>
      <c r="D216" s="11"/>
      <c r="E216" s="11"/>
      <c r="F216" s="11"/>
      <c r="G216" s="11"/>
      <c r="H216" s="11"/>
      <c r="I216" s="11"/>
      <c r="J216" s="11"/>
      <c r="K216" s="11"/>
      <c r="L216" s="15"/>
      <c r="M216" s="15"/>
      <c r="N216" s="15"/>
      <c r="O216" s="15"/>
      <c r="P216" s="15"/>
      <c r="Q216" s="11"/>
      <c r="R216" s="11"/>
      <c r="S216" s="11"/>
      <c r="T216" s="11"/>
      <c r="U216" s="15"/>
      <c r="V216" s="11"/>
      <c r="W216" s="11"/>
      <c r="X216" s="11"/>
      <c r="Y216" s="11"/>
      <c r="Z216" s="11"/>
    </row>
    <row r="217">
      <c r="A217" s="18"/>
      <c r="B217" s="11"/>
      <c r="C217" s="11"/>
      <c r="D217" s="11"/>
      <c r="E217" s="11"/>
      <c r="F217" s="11"/>
      <c r="G217" s="11"/>
      <c r="H217" s="11"/>
      <c r="I217" s="11"/>
      <c r="J217" s="11"/>
      <c r="K217" s="11"/>
      <c r="L217" s="15"/>
      <c r="M217" s="15"/>
      <c r="N217" s="15"/>
      <c r="O217" s="15"/>
      <c r="P217" s="15"/>
      <c r="Q217" s="11"/>
      <c r="R217" s="11"/>
      <c r="S217" s="11"/>
      <c r="T217" s="11"/>
      <c r="U217" s="15"/>
      <c r="V217" s="11"/>
      <c r="W217" s="11"/>
      <c r="X217" s="11"/>
      <c r="Y217" s="11"/>
      <c r="Z217" s="11"/>
    </row>
    <row r="218">
      <c r="A218" s="18"/>
      <c r="B218" s="11"/>
      <c r="C218" s="11"/>
      <c r="D218" s="11"/>
      <c r="E218" s="11"/>
      <c r="F218" s="11"/>
      <c r="G218" s="11"/>
      <c r="H218" s="11"/>
      <c r="I218" s="11"/>
      <c r="J218" s="11"/>
      <c r="K218" s="11"/>
      <c r="L218" s="15"/>
      <c r="M218" s="15"/>
      <c r="N218" s="15"/>
      <c r="O218" s="15"/>
      <c r="P218" s="15"/>
      <c r="Q218" s="11"/>
      <c r="R218" s="11"/>
      <c r="S218" s="11"/>
      <c r="T218" s="11"/>
      <c r="U218" s="15"/>
      <c r="V218" s="11"/>
      <c r="W218" s="11"/>
      <c r="X218" s="11"/>
      <c r="Y218" s="11"/>
      <c r="Z218" s="11"/>
    </row>
    <row r="219">
      <c r="A219" s="18"/>
      <c r="B219" s="11"/>
      <c r="C219" s="11"/>
      <c r="D219" s="11"/>
      <c r="E219" s="11"/>
      <c r="F219" s="11"/>
      <c r="G219" s="11"/>
      <c r="H219" s="11"/>
      <c r="I219" s="11"/>
      <c r="J219" s="11"/>
      <c r="K219" s="11"/>
      <c r="L219" s="15"/>
      <c r="M219" s="15"/>
      <c r="N219" s="15"/>
      <c r="O219" s="15"/>
      <c r="P219" s="15"/>
      <c r="Q219" s="11"/>
      <c r="R219" s="11"/>
      <c r="S219" s="11"/>
      <c r="T219" s="11"/>
      <c r="U219" s="15"/>
      <c r="V219" s="11"/>
      <c r="W219" s="11"/>
      <c r="X219" s="11"/>
      <c r="Y219" s="11"/>
      <c r="Z219" s="11"/>
    </row>
    <row r="220">
      <c r="A220" s="18"/>
      <c r="B220" s="11"/>
      <c r="C220" s="11"/>
      <c r="D220" s="11"/>
      <c r="E220" s="11"/>
      <c r="F220" s="11"/>
      <c r="G220" s="11"/>
      <c r="H220" s="11"/>
      <c r="I220" s="11"/>
      <c r="J220" s="11"/>
      <c r="K220" s="11"/>
      <c r="L220" s="15"/>
      <c r="M220" s="15"/>
      <c r="N220" s="15"/>
      <c r="O220" s="15"/>
      <c r="P220" s="15"/>
      <c r="Q220" s="11"/>
      <c r="R220" s="11"/>
      <c r="S220" s="11"/>
      <c r="T220" s="11"/>
      <c r="U220" s="15"/>
      <c r="V220" s="11"/>
      <c r="W220" s="11"/>
      <c r="X220" s="11"/>
      <c r="Y220" s="11"/>
      <c r="Z220" s="11"/>
    </row>
    <row r="221">
      <c r="A221" s="18"/>
      <c r="B221" s="11"/>
      <c r="C221" s="11"/>
      <c r="D221" s="11"/>
      <c r="E221" s="11"/>
      <c r="F221" s="11"/>
      <c r="G221" s="11"/>
      <c r="H221" s="11"/>
      <c r="I221" s="11"/>
      <c r="J221" s="11"/>
      <c r="K221" s="11"/>
      <c r="L221" s="15"/>
      <c r="M221" s="15"/>
      <c r="N221" s="15"/>
      <c r="O221" s="15"/>
      <c r="P221" s="15"/>
      <c r="Q221" s="11"/>
      <c r="R221" s="11"/>
      <c r="S221" s="11"/>
      <c r="T221" s="11"/>
      <c r="U221" s="15"/>
      <c r="V221" s="11"/>
      <c r="W221" s="11"/>
      <c r="X221" s="11"/>
      <c r="Y221" s="11"/>
      <c r="Z221" s="11"/>
    </row>
    <row r="222">
      <c r="A222" s="18"/>
      <c r="B222" s="11"/>
      <c r="C222" s="11"/>
      <c r="D222" s="11"/>
      <c r="E222" s="11"/>
      <c r="F222" s="11"/>
      <c r="G222" s="11"/>
      <c r="H222" s="11"/>
      <c r="I222" s="11"/>
      <c r="J222" s="11"/>
      <c r="K222" s="11"/>
      <c r="L222" s="15"/>
      <c r="M222" s="15"/>
      <c r="N222" s="15"/>
      <c r="O222" s="15"/>
      <c r="P222" s="15"/>
      <c r="Q222" s="11"/>
      <c r="R222" s="11"/>
      <c r="S222" s="11"/>
      <c r="T222" s="11"/>
      <c r="U222" s="15"/>
      <c r="V222" s="11"/>
      <c r="W222" s="11"/>
      <c r="X222" s="11"/>
      <c r="Y222" s="11"/>
      <c r="Z222" s="11"/>
    </row>
    <row r="223">
      <c r="A223" s="18"/>
      <c r="B223" s="11"/>
      <c r="C223" s="11"/>
      <c r="D223" s="11"/>
      <c r="E223" s="11"/>
      <c r="F223" s="11"/>
      <c r="G223" s="11"/>
      <c r="H223" s="11"/>
      <c r="I223" s="11"/>
      <c r="J223" s="11"/>
      <c r="K223" s="11"/>
      <c r="L223" s="15"/>
      <c r="M223" s="15"/>
      <c r="N223" s="15"/>
      <c r="O223" s="15"/>
      <c r="P223" s="15"/>
      <c r="Q223" s="11"/>
      <c r="R223" s="11"/>
      <c r="S223" s="11"/>
      <c r="T223" s="11"/>
      <c r="U223" s="15"/>
      <c r="V223" s="11"/>
      <c r="W223" s="11"/>
      <c r="X223" s="11"/>
      <c r="Y223" s="11"/>
      <c r="Z223" s="11"/>
    </row>
    <row r="224">
      <c r="A224" s="18"/>
      <c r="B224" s="11"/>
      <c r="C224" s="11"/>
      <c r="D224" s="11"/>
      <c r="E224" s="11"/>
      <c r="F224" s="11"/>
      <c r="G224" s="11"/>
      <c r="H224" s="11"/>
      <c r="I224" s="11"/>
      <c r="J224" s="11"/>
      <c r="K224" s="11"/>
      <c r="L224" s="15"/>
      <c r="M224" s="15"/>
      <c r="N224" s="15"/>
      <c r="O224" s="15"/>
      <c r="P224" s="15"/>
      <c r="Q224" s="11"/>
      <c r="R224" s="11"/>
      <c r="S224" s="11"/>
      <c r="T224" s="11"/>
      <c r="U224" s="15"/>
      <c r="V224" s="11"/>
      <c r="W224" s="11"/>
      <c r="X224" s="11"/>
      <c r="Y224" s="11"/>
      <c r="Z224" s="11"/>
    </row>
    <row r="225">
      <c r="A225" s="18"/>
      <c r="B225" s="11"/>
      <c r="C225" s="11"/>
      <c r="D225" s="11"/>
      <c r="E225" s="11"/>
      <c r="F225" s="11"/>
      <c r="G225" s="11"/>
      <c r="H225" s="11"/>
      <c r="I225" s="11"/>
      <c r="J225" s="11"/>
      <c r="K225" s="11"/>
      <c r="L225" s="15"/>
      <c r="M225" s="15"/>
      <c r="N225" s="15"/>
      <c r="O225" s="15"/>
      <c r="P225" s="15"/>
      <c r="Q225" s="11"/>
      <c r="R225" s="11"/>
      <c r="S225" s="11"/>
      <c r="T225" s="11"/>
      <c r="U225" s="15"/>
      <c r="V225" s="11"/>
      <c r="W225" s="11"/>
      <c r="X225" s="11"/>
      <c r="Y225" s="11"/>
      <c r="Z225" s="11"/>
    </row>
    <row r="226">
      <c r="A226" s="18"/>
      <c r="B226" s="11"/>
      <c r="C226" s="11"/>
      <c r="D226" s="11"/>
      <c r="E226" s="11"/>
      <c r="F226" s="11"/>
      <c r="G226" s="11"/>
      <c r="H226" s="11"/>
      <c r="I226" s="11"/>
      <c r="J226" s="11"/>
      <c r="K226" s="11"/>
      <c r="L226" s="15"/>
      <c r="M226" s="15"/>
      <c r="N226" s="15"/>
      <c r="O226" s="15"/>
      <c r="P226" s="15"/>
      <c r="Q226" s="11"/>
      <c r="R226" s="11"/>
      <c r="S226" s="11"/>
      <c r="T226" s="11"/>
      <c r="U226" s="15"/>
      <c r="V226" s="11"/>
      <c r="W226" s="11"/>
      <c r="X226" s="11"/>
      <c r="Y226" s="11"/>
      <c r="Z226" s="11"/>
    </row>
    <row r="227">
      <c r="A227" s="18"/>
      <c r="B227" s="11"/>
      <c r="C227" s="11"/>
      <c r="D227" s="11"/>
      <c r="E227" s="11"/>
      <c r="F227" s="11"/>
      <c r="G227" s="11"/>
      <c r="H227" s="11"/>
      <c r="I227" s="11"/>
      <c r="J227" s="11"/>
      <c r="K227" s="11"/>
      <c r="L227" s="15"/>
      <c r="M227" s="15"/>
      <c r="N227" s="15"/>
      <c r="O227" s="15"/>
      <c r="P227" s="15"/>
      <c r="Q227" s="11"/>
      <c r="R227" s="11"/>
      <c r="S227" s="11"/>
      <c r="T227" s="11"/>
      <c r="U227" s="15"/>
      <c r="V227" s="11"/>
      <c r="W227" s="11"/>
      <c r="X227" s="11"/>
      <c r="Y227" s="11"/>
      <c r="Z227" s="11"/>
    </row>
    <row r="228">
      <c r="A228" s="18"/>
      <c r="B228" s="11"/>
      <c r="C228" s="11"/>
      <c r="D228" s="11"/>
      <c r="E228" s="11"/>
      <c r="F228" s="11"/>
      <c r="G228" s="11"/>
      <c r="H228" s="11"/>
      <c r="I228" s="11"/>
      <c r="J228" s="11"/>
      <c r="K228" s="11"/>
      <c r="L228" s="15"/>
      <c r="M228" s="15"/>
      <c r="N228" s="15"/>
      <c r="O228" s="15"/>
      <c r="P228" s="15"/>
      <c r="Q228" s="11"/>
      <c r="R228" s="11"/>
      <c r="S228" s="11"/>
      <c r="T228" s="11"/>
      <c r="U228" s="15"/>
      <c r="V228" s="11"/>
      <c r="W228" s="11"/>
      <c r="X228" s="11"/>
      <c r="Y228" s="11"/>
      <c r="Z228" s="11"/>
    </row>
    <row r="229">
      <c r="A229" s="18"/>
      <c r="B229" s="11"/>
      <c r="C229" s="11"/>
      <c r="D229" s="11"/>
      <c r="E229" s="11"/>
      <c r="F229" s="11"/>
      <c r="G229" s="11"/>
      <c r="H229" s="11"/>
      <c r="I229" s="11"/>
      <c r="J229" s="11"/>
      <c r="K229" s="11"/>
      <c r="L229" s="15"/>
      <c r="M229" s="15"/>
      <c r="N229" s="15"/>
      <c r="O229" s="15"/>
      <c r="P229" s="15"/>
      <c r="Q229" s="11"/>
      <c r="R229" s="11"/>
      <c r="S229" s="11"/>
      <c r="T229" s="11"/>
      <c r="U229" s="15"/>
      <c r="V229" s="11"/>
      <c r="W229" s="11"/>
      <c r="X229" s="11"/>
      <c r="Y229" s="11"/>
      <c r="Z229" s="11"/>
    </row>
    <row r="230">
      <c r="A230" s="18"/>
      <c r="B230" s="11"/>
      <c r="C230" s="11"/>
      <c r="D230" s="11"/>
      <c r="E230" s="11"/>
      <c r="F230" s="11"/>
      <c r="G230" s="11"/>
      <c r="H230" s="11"/>
      <c r="I230" s="11"/>
      <c r="J230" s="11"/>
      <c r="K230" s="11"/>
      <c r="L230" s="15"/>
      <c r="M230" s="15"/>
      <c r="N230" s="15"/>
      <c r="O230" s="15"/>
      <c r="P230" s="15"/>
      <c r="Q230" s="11"/>
      <c r="R230" s="11"/>
      <c r="S230" s="11"/>
      <c r="T230" s="11"/>
      <c r="U230" s="15"/>
      <c r="V230" s="11"/>
      <c r="W230" s="11"/>
      <c r="X230" s="11"/>
      <c r="Y230" s="11"/>
      <c r="Z230" s="11"/>
    </row>
    <row r="231">
      <c r="A231" s="18"/>
      <c r="B231" s="11"/>
      <c r="C231" s="11"/>
      <c r="D231" s="11"/>
      <c r="E231" s="11"/>
      <c r="F231" s="11"/>
      <c r="G231" s="11"/>
      <c r="H231" s="11"/>
      <c r="I231" s="11"/>
      <c r="J231" s="11"/>
      <c r="K231" s="11"/>
      <c r="L231" s="15"/>
      <c r="M231" s="15"/>
      <c r="N231" s="15"/>
      <c r="O231" s="15"/>
      <c r="P231" s="15"/>
      <c r="Q231" s="11"/>
      <c r="R231" s="11"/>
      <c r="S231" s="11"/>
      <c r="T231" s="11"/>
      <c r="U231" s="15"/>
      <c r="V231" s="11"/>
      <c r="W231" s="11"/>
      <c r="X231" s="11"/>
      <c r="Y231" s="11"/>
      <c r="Z231" s="11"/>
    </row>
    <row r="232">
      <c r="A232" s="18"/>
      <c r="B232" s="11"/>
      <c r="C232" s="11"/>
      <c r="D232" s="11"/>
      <c r="E232" s="11"/>
      <c r="F232" s="11"/>
      <c r="G232" s="11"/>
      <c r="H232" s="11"/>
      <c r="I232" s="11"/>
      <c r="J232" s="11"/>
      <c r="K232" s="11"/>
      <c r="L232" s="15"/>
      <c r="M232" s="15"/>
      <c r="N232" s="15"/>
      <c r="O232" s="15"/>
      <c r="P232" s="15"/>
      <c r="Q232" s="11"/>
      <c r="R232" s="11"/>
      <c r="S232" s="11"/>
      <c r="T232" s="11"/>
      <c r="U232" s="15"/>
      <c r="V232" s="11"/>
      <c r="W232" s="11"/>
      <c r="X232" s="11"/>
      <c r="Y232" s="11"/>
      <c r="Z232" s="11"/>
    </row>
    <row r="233">
      <c r="A233" s="18"/>
      <c r="B233" s="11"/>
      <c r="C233" s="11"/>
      <c r="D233" s="11"/>
      <c r="E233" s="11"/>
      <c r="F233" s="11"/>
      <c r="G233" s="11"/>
      <c r="H233" s="11"/>
      <c r="I233" s="11"/>
      <c r="J233" s="11"/>
      <c r="K233" s="11"/>
      <c r="L233" s="15"/>
      <c r="M233" s="15"/>
      <c r="N233" s="15"/>
      <c r="O233" s="15"/>
      <c r="P233" s="15"/>
      <c r="Q233" s="11"/>
      <c r="R233" s="11"/>
      <c r="S233" s="11"/>
      <c r="T233" s="11"/>
      <c r="U233" s="15"/>
      <c r="V233" s="11"/>
      <c r="W233" s="11"/>
      <c r="X233" s="11"/>
      <c r="Y233" s="11"/>
      <c r="Z233" s="11"/>
    </row>
    <row r="234">
      <c r="A234" s="18"/>
      <c r="B234" s="11"/>
      <c r="C234" s="11"/>
      <c r="D234" s="11"/>
      <c r="E234" s="11"/>
      <c r="F234" s="11"/>
      <c r="G234" s="11"/>
      <c r="H234" s="11"/>
      <c r="I234" s="11"/>
      <c r="J234" s="11"/>
      <c r="K234" s="11"/>
      <c r="L234" s="15"/>
      <c r="M234" s="15"/>
      <c r="N234" s="15"/>
      <c r="O234" s="15"/>
      <c r="P234" s="15"/>
      <c r="Q234" s="11"/>
      <c r="R234" s="11"/>
      <c r="S234" s="11"/>
      <c r="T234" s="11"/>
      <c r="U234" s="15"/>
      <c r="V234" s="11"/>
      <c r="W234" s="11"/>
      <c r="X234" s="11"/>
      <c r="Y234" s="11"/>
      <c r="Z234" s="11"/>
    </row>
    <row r="235">
      <c r="A235" s="18"/>
      <c r="B235" s="11"/>
      <c r="C235" s="11"/>
      <c r="D235" s="11"/>
      <c r="E235" s="11"/>
      <c r="F235" s="11"/>
      <c r="G235" s="11"/>
      <c r="H235" s="11"/>
      <c r="I235" s="11"/>
      <c r="J235" s="11"/>
      <c r="K235" s="11"/>
      <c r="L235" s="15"/>
      <c r="M235" s="15"/>
      <c r="N235" s="15"/>
      <c r="O235" s="15"/>
      <c r="P235" s="15"/>
      <c r="Q235" s="11"/>
      <c r="R235" s="11"/>
      <c r="S235" s="11"/>
      <c r="T235" s="11"/>
      <c r="U235" s="15"/>
      <c r="V235" s="11"/>
      <c r="W235" s="11"/>
      <c r="X235" s="11"/>
      <c r="Y235" s="11"/>
      <c r="Z235" s="11"/>
    </row>
    <row r="236">
      <c r="A236" s="18"/>
      <c r="B236" s="11"/>
      <c r="C236" s="11"/>
      <c r="D236" s="11"/>
      <c r="E236" s="11"/>
      <c r="F236" s="11"/>
      <c r="G236" s="11"/>
      <c r="H236" s="11"/>
      <c r="I236" s="11"/>
      <c r="J236" s="11"/>
      <c r="K236" s="11"/>
      <c r="L236" s="15"/>
      <c r="M236" s="15"/>
      <c r="N236" s="15"/>
      <c r="O236" s="15"/>
      <c r="P236" s="15"/>
      <c r="Q236" s="11"/>
      <c r="R236" s="11"/>
      <c r="S236" s="11"/>
      <c r="T236" s="11"/>
      <c r="U236" s="15"/>
      <c r="V236" s="11"/>
      <c r="W236" s="11"/>
      <c r="X236" s="11"/>
      <c r="Y236" s="11"/>
      <c r="Z236" s="11"/>
    </row>
    <row r="237">
      <c r="A237" s="18"/>
      <c r="B237" s="11"/>
      <c r="C237" s="11"/>
      <c r="D237" s="11"/>
      <c r="E237" s="11"/>
      <c r="F237" s="11"/>
      <c r="G237" s="11"/>
      <c r="H237" s="11"/>
      <c r="I237" s="11"/>
      <c r="J237" s="11"/>
      <c r="K237" s="11"/>
      <c r="L237" s="15"/>
      <c r="M237" s="15"/>
      <c r="N237" s="15"/>
      <c r="O237" s="15"/>
      <c r="P237" s="15"/>
      <c r="Q237" s="11"/>
      <c r="R237" s="11"/>
      <c r="S237" s="11"/>
      <c r="T237" s="11"/>
      <c r="U237" s="15"/>
      <c r="V237" s="11"/>
      <c r="W237" s="11"/>
      <c r="X237" s="11"/>
      <c r="Y237" s="11"/>
      <c r="Z237" s="11"/>
    </row>
    <row r="238">
      <c r="A238" s="18"/>
      <c r="B238" s="11"/>
      <c r="C238" s="11"/>
      <c r="D238" s="11"/>
      <c r="E238" s="11"/>
      <c r="F238" s="11"/>
      <c r="G238" s="11"/>
      <c r="H238" s="11"/>
      <c r="I238" s="11"/>
      <c r="J238" s="11"/>
      <c r="K238" s="11"/>
      <c r="L238" s="15"/>
      <c r="M238" s="15"/>
      <c r="N238" s="15"/>
      <c r="O238" s="15"/>
      <c r="P238" s="15"/>
      <c r="Q238" s="11"/>
      <c r="R238" s="11"/>
      <c r="S238" s="11"/>
      <c r="T238" s="11"/>
      <c r="U238" s="15"/>
      <c r="V238" s="11"/>
      <c r="W238" s="11"/>
      <c r="X238" s="11"/>
      <c r="Y238" s="11"/>
      <c r="Z238" s="11"/>
    </row>
    <row r="239">
      <c r="A239" s="18"/>
      <c r="B239" s="11"/>
      <c r="C239" s="11"/>
      <c r="D239" s="11"/>
      <c r="E239" s="11"/>
      <c r="F239" s="11"/>
      <c r="G239" s="11"/>
      <c r="H239" s="11"/>
      <c r="I239" s="11"/>
      <c r="J239" s="11"/>
      <c r="K239" s="11"/>
      <c r="L239" s="15"/>
      <c r="M239" s="15"/>
      <c r="N239" s="15"/>
      <c r="O239" s="15"/>
      <c r="P239" s="15"/>
      <c r="Q239" s="11"/>
      <c r="R239" s="11"/>
      <c r="S239" s="11"/>
      <c r="T239" s="11"/>
      <c r="U239" s="15"/>
      <c r="V239" s="11"/>
      <c r="W239" s="11"/>
      <c r="X239" s="11"/>
      <c r="Y239" s="11"/>
      <c r="Z239" s="11"/>
    </row>
    <row r="240">
      <c r="A240" s="18"/>
      <c r="B240" s="11"/>
      <c r="C240" s="11"/>
      <c r="D240" s="11"/>
      <c r="E240" s="11"/>
      <c r="F240" s="11"/>
      <c r="G240" s="11"/>
      <c r="H240" s="11"/>
      <c r="I240" s="11"/>
      <c r="J240" s="11"/>
      <c r="K240" s="11"/>
      <c r="L240" s="15"/>
      <c r="M240" s="15"/>
      <c r="N240" s="15"/>
      <c r="O240" s="15"/>
      <c r="P240" s="15"/>
      <c r="Q240" s="11"/>
      <c r="R240" s="11"/>
      <c r="S240" s="11"/>
      <c r="T240" s="11"/>
      <c r="U240" s="15"/>
      <c r="V240" s="11"/>
      <c r="W240" s="11"/>
      <c r="X240" s="11"/>
      <c r="Y240" s="11"/>
      <c r="Z240" s="11"/>
    </row>
    <row r="241">
      <c r="A241" s="18"/>
      <c r="B241" s="11"/>
      <c r="C241" s="11"/>
      <c r="D241" s="11"/>
      <c r="E241" s="11"/>
      <c r="F241" s="11"/>
      <c r="G241" s="11"/>
      <c r="H241" s="11"/>
      <c r="I241" s="11"/>
      <c r="J241" s="11"/>
      <c r="K241" s="11"/>
      <c r="L241" s="15"/>
      <c r="M241" s="15"/>
      <c r="N241" s="15"/>
      <c r="O241" s="15"/>
      <c r="P241" s="15"/>
      <c r="Q241" s="11"/>
      <c r="R241" s="11"/>
      <c r="S241" s="11"/>
      <c r="T241" s="11"/>
      <c r="U241" s="15"/>
      <c r="V241" s="11"/>
      <c r="W241" s="11"/>
      <c r="X241" s="11"/>
      <c r="Y241" s="11"/>
      <c r="Z241" s="11"/>
    </row>
    <row r="242">
      <c r="A242" s="18"/>
      <c r="B242" s="11"/>
      <c r="C242" s="11"/>
      <c r="D242" s="11"/>
      <c r="E242" s="11"/>
      <c r="F242" s="11"/>
      <c r="G242" s="11"/>
      <c r="H242" s="11"/>
      <c r="I242" s="11"/>
      <c r="J242" s="11"/>
      <c r="K242" s="11"/>
      <c r="L242" s="15"/>
      <c r="M242" s="15"/>
      <c r="N242" s="15"/>
      <c r="O242" s="15"/>
      <c r="P242" s="15"/>
      <c r="Q242" s="11"/>
      <c r="R242" s="11"/>
      <c r="S242" s="11"/>
      <c r="T242" s="11"/>
      <c r="U242" s="15"/>
      <c r="V242" s="11"/>
      <c r="W242" s="11"/>
      <c r="X242" s="11"/>
      <c r="Y242" s="11"/>
      <c r="Z242" s="11"/>
    </row>
    <row r="243">
      <c r="A243" s="18"/>
      <c r="B243" s="11"/>
      <c r="C243" s="11"/>
      <c r="D243" s="11"/>
      <c r="E243" s="11"/>
      <c r="F243" s="11"/>
      <c r="G243" s="11"/>
      <c r="H243" s="11"/>
      <c r="I243" s="11"/>
      <c r="J243" s="11"/>
      <c r="K243" s="11"/>
      <c r="L243" s="15"/>
      <c r="M243" s="15"/>
      <c r="N243" s="15"/>
      <c r="O243" s="15"/>
      <c r="P243" s="15"/>
      <c r="Q243" s="11"/>
      <c r="R243" s="11"/>
      <c r="S243" s="11"/>
      <c r="T243" s="11"/>
      <c r="U243" s="15"/>
      <c r="V243" s="11"/>
      <c r="W243" s="11"/>
      <c r="X243" s="11"/>
      <c r="Y243" s="11"/>
      <c r="Z243" s="11"/>
    </row>
    <row r="244">
      <c r="A244" s="18"/>
      <c r="B244" s="11"/>
      <c r="C244" s="11"/>
      <c r="D244" s="11"/>
      <c r="E244" s="11"/>
      <c r="F244" s="11"/>
      <c r="G244" s="11"/>
      <c r="H244" s="11"/>
      <c r="I244" s="11"/>
      <c r="J244" s="11"/>
      <c r="K244" s="11"/>
      <c r="L244" s="15"/>
      <c r="M244" s="15"/>
      <c r="N244" s="15"/>
      <c r="O244" s="15"/>
      <c r="P244" s="15"/>
      <c r="Q244" s="11"/>
      <c r="R244" s="11"/>
      <c r="S244" s="11"/>
      <c r="T244" s="11"/>
      <c r="U244" s="15"/>
      <c r="V244" s="11"/>
      <c r="W244" s="11"/>
      <c r="X244" s="11"/>
      <c r="Y244" s="11"/>
      <c r="Z244" s="11"/>
    </row>
    <row r="245">
      <c r="A245" s="18"/>
      <c r="B245" s="11"/>
      <c r="C245" s="11"/>
      <c r="D245" s="11"/>
      <c r="E245" s="11"/>
      <c r="F245" s="11"/>
      <c r="G245" s="11"/>
      <c r="H245" s="11"/>
      <c r="I245" s="11"/>
      <c r="J245" s="11"/>
      <c r="K245" s="11"/>
      <c r="L245" s="15"/>
      <c r="M245" s="15"/>
      <c r="N245" s="15"/>
      <c r="O245" s="15"/>
      <c r="P245" s="15"/>
      <c r="Q245" s="11"/>
      <c r="R245" s="11"/>
      <c r="S245" s="11"/>
      <c r="T245" s="11"/>
      <c r="U245" s="15"/>
      <c r="V245" s="11"/>
      <c r="W245" s="11"/>
      <c r="X245" s="11"/>
      <c r="Y245" s="11"/>
      <c r="Z245" s="11"/>
    </row>
    <row r="246">
      <c r="A246" s="18"/>
      <c r="B246" s="11"/>
      <c r="C246" s="11"/>
      <c r="D246" s="11"/>
      <c r="E246" s="11"/>
      <c r="F246" s="11"/>
      <c r="G246" s="11"/>
      <c r="H246" s="11"/>
      <c r="I246" s="11"/>
      <c r="J246" s="11"/>
      <c r="K246" s="11"/>
      <c r="L246" s="15"/>
      <c r="M246" s="15"/>
      <c r="N246" s="15"/>
      <c r="O246" s="15"/>
      <c r="P246" s="15"/>
      <c r="Q246" s="11"/>
      <c r="R246" s="11"/>
      <c r="S246" s="11"/>
      <c r="T246" s="11"/>
      <c r="U246" s="15"/>
      <c r="V246" s="11"/>
      <c r="W246" s="11"/>
      <c r="X246" s="11"/>
      <c r="Y246" s="11"/>
      <c r="Z246" s="11"/>
    </row>
    <row r="247">
      <c r="A247" s="18"/>
      <c r="B247" s="11"/>
      <c r="C247" s="11"/>
      <c r="D247" s="11"/>
      <c r="E247" s="11"/>
      <c r="F247" s="11"/>
      <c r="G247" s="11"/>
      <c r="H247" s="11"/>
      <c r="I247" s="11"/>
      <c r="J247" s="11"/>
      <c r="K247" s="11"/>
      <c r="L247" s="15"/>
      <c r="M247" s="15"/>
      <c r="N247" s="15"/>
      <c r="O247" s="15"/>
      <c r="P247" s="15"/>
      <c r="Q247" s="11"/>
      <c r="R247" s="11"/>
      <c r="S247" s="11"/>
      <c r="T247" s="11"/>
      <c r="U247" s="15"/>
      <c r="V247" s="11"/>
      <c r="W247" s="11"/>
      <c r="X247" s="11"/>
      <c r="Y247" s="11"/>
      <c r="Z247" s="11"/>
    </row>
    <row r="248">
      <c r="A248" s="18"/>
      <c r="B248" s="11"/>
      <c r="C248" s="11"/>
      <c r="D248" s="11"/>
      <c r="E248" s="11"/>
      <c r="F248" s="11"/>
      <c r="G248" s="11"/>
      <c r="H248" s="11"/>
      <c r="I248" s="11"/>
      <c r="J248" s="11"/>
      <c r="K248" s="11"/>
      <c r="L248" s="15"/>
      <c r="M248" s="15"/>
      <c r="N248" s="15"/>
      <c r="O248" s="15"/>
      <c r="P248" s="15"/>
      <c r="Q248" s="11"/>
      <c r="R248" s="11"/>
      <c r="S248" s="11"/>
      <c r="T248" s="11"/>
      <c r="U248" s="15"/>
      <c r="V248" s="11"/>
      <c r="W248" s="11"/>
      <c r="X248" s="11"/>
      <c r="Y248" s="11"/>
      <c r="Z248" s="11"/>
    </row>
    <row r="249">
      <c r="A249" s="18"/>
      <c r="B249" s="11"/>
      <c r="C249" s="11"/>
      <c r="D249" s="11"/>
      <c r="E249" s="11"/>
      <c r="F249" s="11"/>
      <c r="G249" s="11"/>
      <c r="H249" s="11"/>
      <c r="I249" s="11"/>
      <c r="J249" s="11"/>
      <c r="K249" s="11"/>
      <c r="L249" s="15"/>
      <c r="M249" s="15"/>
      <c r="N249" s="15"/>
      <c r="O249" s="15"/>
      <c r="P249" s="15"/>
      <c r="Q249" s="11"/>
      <c r="R249" s="11"/>
      <c r="S249" s="11"/>
      <c r="T249" s="11"/>
      <c r="U249" s="15"/>
      <c r="V249" s="11"/>
      <c r="W249" s="11"/>
      <c r="X249" s="11"/>
      <c r="Y249" s="11"/>
      <c r="Z249" s="11"/>
    </row>
    <row r="250">
      <c r="A250" s="18"/>
      <c r="B250" s="11"/>
      <c r="C250" s="11"/>
      <c r="D250" s="11"/>
      <c r="E250" s="11"/>
      <c r="F250" s="11"/>
      <c r="G250" s="11"/>
      <c r="H250" s="11"/>
      <c r="I250" s="11"/>
      <c r="J250" s="11"/>
      <c r="K250" s="11"/>
      <c r="L250" s="15"/>
      <c r="M250" s="15"/>
      <c r="N250" s="15"/>
      <c r="O250" s="15"/>
      <c r="P250" s="15"/>
      <c r="Q250" s="11"/>
      <c r="R250" s="11"/>
      <c r="S250" s="11"/>
      <c r="T250" s="11"/>
      <c r="U250" s="15"/>
      <c r="V250" s="11"/>
      <c r="W250" s="11"/>
      <c r="X250" s="11"/>
      <c r="Y250" s="11"/>
      <c r="Z250" s="11"/>
    </row>
    <row r="251">
      <c r="A251" s="18"/>
      <c r="B251" s="11"/>
      <c r="C251" s="11"/>
      <c r="D251" s="11"/>
      <c r="E251" s="11"/>
      <c r="F251" s="11"/>
      <c r="G251" s="11"/>
      <c r="H251" s="11"/>
      <c r="I251" s="11"/>
      <c r="J251" s="11"/>
      <c r="K251" s="11"/>
      <c r="L251" s="15"/>
      <c r="M251" s="15"/>
      <c r="N251" s="15"/>
      <c r="O251" s="15"/>
      <c r="P251" s="15"/>
      <c r="Q251" s="11"/>
      <c r="R251" s="11"/>
      <c r="S251" s="11"/>
      <c r="T251" s="11"/>
      <c r="U251" s="15"/>
      <c r="V251" s="11"/>
      <c r="W251" s="11"/>
      <c r="X251" s="11"/>
      <c r="Y251" s="11"/>
      <c r="Z251" s="11"/>
    </row>
    <row r="252">
      <c r="A252" s="18"/>
      <c r="B252" s="11"/>
      <c r="C252" s="11"/>
      <c r="D252" s="11"/>
      <c r="E252" s="11"/>
      <c r="F252" s="11"/>
      <c r="G252" s="11"/>
      <c r="H252" s="11"/>
      <c r="I252" s="11"/>
      <c r="J252" s="11"/>
      <c r="K252" s="11"/>
      <c r="L252" s="15"/>
      <c r="M252" s="15"/>
      <c r="N252" s="15"/>
      <c r="O252" s="15"/>
      <c r="P252" s="15"/>
      <c r="Q252" s="11"/>
      <c r="R252" s="11"/>
      <c r="S252" s="11"/>
      <c r="T252" s="11"/>
      <c r="U252" s="15"/>
      <c r="V252" s="11"/>
      <c r="W252" s="11"/>
      <c r="X252" s="11"/>
      <c r="Y252" s="11"/>
      <c r="Z252" s="11"/>
    </row>
    <row r="253">
      <c r="A253" s="18"/>
      <c r="B253" s="11"/>
      <c r="C253" s="11"/>
      <c r="D253" s="11"/>
      <c r="E253" s="11"/>
      <c r="F253" s="11"/>
      <c r="G253" s="11"/>
      <c r="H253" s="11"/>
      <c r="I253" s="11"/>
      <c r="J253" s="11"/>
      <c r="K253" s="11"/>
      <c r="L253" s="15"/>
      <c r="M253" s="15"/>
      <c r="N253" s="15"/>
      <c r="O253" s="15"/>
      <c r="P253" s="15"/>
      <c r="Q253" s="11"/>
      <c r="R253" s="11"/>
      <c r="S253" s="11"/>
      <c r="T253" s="11"/>
      <c r="U253" s="15"/>
      <c r="V253" s="11"/>
      <c r="W253" s="11"/>
      <c r="X253" s="11"/>
      <c r="Y253" s="11"/>
      <c r="Z253" s="11"/>
    </row>
    <row r="254">
      <c r="A254" s="18"/>
      <c r="B254" s="11"/>
      <c r="C254" s="11"/>
      <c r="D254" s="11"/>
      <c r="E254" s="11"/>
      <c r="F254" s="11"/>
      <c r="G254" s="11"/>
      <c r="H254" s="11"/>
      <c r="I254" s="11"/>
      <c r="J254" s="11"/>
      <c r="K254" s="11"/>
      <c r="L254" s="15"/>
      <c r="M254" s="15"/>
      <c r="N254" s="15"/>
      <c r="O254" s="15"/>
      <c r="P254" s="15"/>
      <c r="Q254" s="11"/>
      <c r="R254" s="11"/>
      <c r="S254" s="11"/>
      <c r="T254" s="11"/>
      <c r="U254" s="15"/>
      <c r="V254" s="11"/>
      <c r="W254" s="11"/>
      <c r="X254" s="11"/>
      <c r="Y254" s="11"/>
      <c r="Z254" s="11"/>
    </row>
    <row r="255">
      <c r="A255" s="18"/>
      <c r="B255" s="11"/>
      <c r="C255" s="11"/>
      <c r="D255" s="11"/>
      <c r="E255" s="11"/>
      <c r="F255" s="11"/>
      <c r="G255" s="11"/>
      <c r="H255" s="11"/>
      <c r="I255" s="11"/>
      <c r="J255" s="11"/>
      <c r="K255" s="11"/>
      <c r="L255" s="15"/>
      <c r="M255" s="15"/>
      <c r="N255" s="15"/>
      <c r="O255" s="15"/>
      <c r="P255" s="15"/>
      <c r="Q255" s="11"/>
      <c r="R255" s="11"/>
      <c r="S255" s="11"/>
      <c r="T255" s="11"/>
      <c r="U255" s="15"/>
      <c r="V255" s="11"/>
      <c r="W255" s="11"/>
      <c r="X255" s="11"/>
      <c r="Y255" s="11"/>
      <c r="Z255" s="11"/>
    </row>
    <row r="256">
      <c r="A256" s="18"/>
      <c r="B256" s="11"/>
      <c r="C256" s="11"/>
      <c r="D256" s="11"/>
      <c r="E256" s="11"/>
      <c r="F256" s="11"/>
      <c r="G256" s="11"/>
      <c r="H256" s="11"/>
      <c r="I256" s="11"/>
      <c r="J256" s="11"/>
      <c r="K256" s="11"/>
      <c r="L256" s="15"/>
      <c r="M256" s="15"/>
      <c r="N256" s="15"/>
      <c r="O256" s="15"/>
      <c r="P256" s="15"/>
      <c r="Q256" s="11"/>
      <c r="R256" s="11"/>
      <c r="S256" s="11"/>
      <c r="T256" s="11"/>
      <c r="U256" s="15"/>
      <c r="V256" s="11"/>
      <c r="W256" s="11"/>
      <c r="X256" s="11"/>
      <c r="Y256" s="11"/>
      <c r="Z256" s="11"/>
    </row>
    <row r="257">
      <c r="A257" s="18"/>
      <c r="B257" s="11"/>
      <c r="C257" s="11"/>
      <c r="D257" s="11"/>
      <c r="E257" s="11"/>
      <c r="F257" s="11"/>
      <c r="G257" s="11"/>
      <c r="H257" s="11"/>
      <c r="I257" s="11"/>
      <c r="J257" s="11"/>
      <c r="K257" s="11"/>
      <c r="L257" s="15"/>
      <c r="M257" s="15"/>
      <c r="N257" s="15"/>
      <c r="O257" s="15"/>
      <c r="P257" s="15"/>
      <c r="Q257" s="11"/>
      <c r="R257" s="11"/>
      <c r="S257" s="11"/>
      <c r="T257" s="11"/>
      <c r="U257" s="15"/>
      <c r="V257" s="11"/>
      <c r="W257" s="11"/>
      <c r="X257" s="11"/>
      <c r="Y257" s="11"/>
      <c r="Z257" s="11"/>
    </row>
    <row r="258">
      <c r="A258" s="18"/>
      <c r="B258" s="11"/>
      <c r="C258" s="11"/>
      <c r="D258" s="11"/>
      <c r="E258" s="11"/>
      <c r="F258" s="11"/>
      <c r="G258" s="11"/>
      <c r="H258" s="11"/>
      <c r="I258" s="11"/>
      <c r="J258" s="11"/>
      <c r="K258" s="11"/>
      <c r="L258" s="15"/>
      <c r="M258" s="15"/>
      <c r="N258" s="15"/>
      <c r="O258" s="15"/>
      <c r="P258" s="15"/>
      <c r="Q258" s="11"/>
      <c r="R258" s="11"/>
      <c r="S258" s="11"/>
      <c r="T258" s="11"/>
      <c r="U258" s="15"/>
      <c r="V258" s="11"/>
      <c r="W258" s="11"/>
      <c r="X258" s="11"/>
      <c r="Y258" s="11"/>
      <c r="Z258" s="11"/>
    </row>
    <row r="259">
      <c r="A259" s="18"/>
      <c r="B259" s="11"/>
      <c r="C259" s="11"/>
      <c r="D259" s="11"/>
      <c r="E259" s="11"/>
      <c r="F259" s="11"/>
      <c r="G259" s="11"/>
      <c r="H259" s="11"/>
      <c r="I259" s="11"/>
      <c r="J259" s="11"/>
      <c r="K259" s="11"/>
      <c r="L259" s="15"/>
      <c r="M259" s="15"/>
      <c r="N259" s="15"/>
      <c r="O259" s="15"/>
      <c r="P259" s="15"/>
      <c r="Q259" s="11"/>
      <c r="R259" s="11"/>
      <c r="S259" s="11"/>
      <c r="T259" s="11"/>
      <c r="U259" s="15"/>
      <c r="V259" s="11"/>
      <c r="W259" s="11"/>
      <c r="X259" s="11"/>
      <c r="Y259" s="11"/>
      <c r="Z259" s="11"/>
    </row>
    <row r="260">
      <c r="A260" s="18"/>
      <c r="B260" s="11"/>
      <c r="C260" s="11"/>
      <c r="D260" s="11"/>
      <c r="E260" s="11"/>
      <c r="F260" s="11"/>
      <c r="G260" s="11"/>
      <c r="H260" s="11"/>
      <c r="I260" s="11"/>
      <c r="J260" s="11"/>
      <c r="K260" s="11"/>
      <c r="L260" s="15"/>
      <c r="M260" s="15"/>
      <c r="N260" s="15"/>
      <c r="O260" s="15"/>
      <c r="P260" s="15"/>
      <c r="Q260" s="11"/>
      <c r="R260" s="11"/>
      <c r="S260" s="11"/>
      <c r="T260" s="11"/>
      <c r="U260" s="15"/>
      <c r="V260" s="11"/>
      <c r="W260" s="11"/>
      <c r="X260" s="11"/>
      <c r="Y260" s="11"/>
      <c r="Z260" s="11"/>
    </row>
    <row r="261">
      <c r="A261" s="18"/>
      <c r="B261" s="11"/>
      <c r="C261" s="11"/>
      <c r="D261" s="11"/>
      <c r="E261" s="11"/>
      <c r="F261" s="11"/>
      <c r="G261" s="11"/>
      <c r="H261" s="11"/>
      <c r="I261" s="11"/>
      <c r="J261" s="11"/>
      <c r="K261" s="11"/>
      <c r="L261" s="15"/>
      <c r="M261" s="15"/>
      <c r="N261" s="15"/>
      <c r="O261" s="15"/>
      <c r="P261" s="15"/>
      <c r="Q261" s="11"/>
      <c r="R261" s="11"/>
      <c r="S261" s="11"/>
      <c r="T261" s="11"/>
      <c r="U261" s="15"/>
      <c r="V261" s="11"/>
      <c r="W261" s="11"/>
      <c r="X261" s="11"/>
      <c r="Y261" s="11"/>
      <c r="Z261" s="11"/>
    </row>
    <row r="262">
      <c r="A262" s="18"/>
      <c r="B262" s="11"/>
      <c r="C262" s="11"/>
      <c r="D262" s="11"/>
      <c r="E262" s="11"/>
      <c r="F262" s="11"/>
      <c r="G262" s="11"/>
      <c r="H262" s="11"/>
      <c r="I262" s="11"/>
      <c r="J262" s="11"/>
      <c r="K262" s="11"/>
      <c r="L262" s="15"/>
      <c r="M262" s="15"/>
      <c r="N262" s="15"/>
      <c r="O262" s="15"/>
      <c r="P262" s="15"/>
      <c r="Q262" s="11"/>
      <c r="R262" s="11"/>
      <c r="S262" s="11"/>
      <c r="T262" s="11"/>
      <c r="U262" s="15"/>
      <c r="V262" s="11"/>
      <c r="W262" s="11"/>
      <c r="X262" s="11"/>
      <c r="Y262" s="11"/>
      <c r="Z262" s="11"/>
    </row>
    <row r="263">
      <c r="A263" s="18"/>
      <c r="B263" s="11"/>
      <c r="C263" s="11"/>
      <c r="D263" s="11"/>
      <c r="E263" s="11"/>
      <c r="F263" s="11"/>
      <c r="G263" s="11"/>
      <c r="H263" s="11"/>
      <c r="I263" s="11"/>
      <c r="J263" s="11"/>
      <c r="K263" s="11"/>
      <c r="L263" s="15"/>
      <c r="M263" s="15"/>
      <c r="N263" s="15"/>
      <c r="O263" s="15"/>
      <c r="P263" s="15"/>
      <c r="Q263" s="11"/>
      <c r="R263" s="11"/>
      <c r="S263" s="11"/>
      <c r="T263" s="11"/>
      <c r="U263" s="15"/>
      <c r="V263" s="11"/>
      <c r="W263" s="11"/>
      <c r="X263" s="11"/>
      <c r="Y263" s="11"/>
      <c r="Z263" s="11"/>
    </row>
    <row r="264">
      <c r="A264" s="18"/>
      <c r="B264" s="11"/>
      <c r="C264" s="11"/>
      <c r="D264" s="11"/>
      <c r="E264" s="11"/>
      <c r="F264" s="11"/>
      <c r="G264" s="11"/>
      <c r="H264" s="11"/>
      <c r="I264" s="11"/>
      <c r="J264" s="11"/>
      <c r="K264" s="11"/>
      <c r="L264" s="15"/>
      <c r="M264" s="15"/>
      <c r="N264" s="15"/>
      <c r="O264" s="15"/>
      <c r="P264" s="15"/>
      <c r="Q264" s="11"/>
      <c r="R264" s="11"/>
      <c r="S264" s="11"/>
      <c r="T264" s="11"/>
      <c r="U264" s="15"/>
      <c r="V264" s="11"/>
      <c r="W264" s="11"/>
      <c r="X264" s="11"/>
      <c r="Y264" s="11"/>
      <c r="Z264" s="11"/>
    </row>
    <row r="265">
      <c r="A265" s="18"/>
      <c r="B265" s="11"/>
      <c r="C265" s="11"/>
      <c r="D265" s="11"/>
      <c r="E265" s="11"/>
      <c r="F265" s="11"/>
      <c r="G265" s="11"/>
      <c r="H265" s="11"/>
      <c r="I265" s="11"/>
      <c r="J265" s="11"/>
      <c r="K265" s="11"/>
      <c r="L265" s="15"/>
      <c r="M265" s="15"/>
      <c r="N265" s="15"/>
      <c r="O265" s="15"/>
      <c r="P265" s="15"/>
      <c r="Q265" s="11"/>
      <c r="R265" s="11"/>
      <c r="S265" s="11"/>
      <c r="T265" s="11"/>
      <c r="U265" s="15"/>
      <c r="V265" s="11"/>
      <c r="W265" s="11"/>
      <c r="X265" s="11"/>
      <c r="Y265" s="11"/>
      <c r="Z265" s="11"/>
    </row>
    <row r="266">
      <c r="A266" s="18"/>
      <c r="B266" s="11"/>
      <c r="C266" s="11"/>
      <c r="D266" s="11"/>
      <c r="E266" s="11"/>
      <c r="F266" s="11"/>
      <c r="G266" s="11"/>
      <c r="H266" s="11"/>
      <c r="I266" s="11"/>
      <c r="J266" s="11"/>
      <c r="K266" s="11"/>
      <c r="L266" s="15"/>
      <c r="M266" s="15"/>
      <c r="N266" s="15"/>
      <c r="O266" s="15"/>
      <c r="P266" s="15"/>
      <c r="Q266" s="11"/>
      <c r="R266" s="11"/>
      <c r="S266" s="11"/>
      <c r="T266" s="11"/>
      <c r="U266" s="15"/>
      <c r="V266" s="11"/>
      <c r="W266" s="11"/>
      <c r="X266" s="11"/>
      <c r="Y266" s="11"/>
      <c r="Z266" s="11"/>
    </row>
    <row r="267">
      <c r="A267" s="18"/>
      <c r="B267" s="11"/>
      <c r="C267" s="11"/>
      <c r="D267" s="11"/>
      <c r="E267" s="11"/>
      <c r="F267" s="11"/>
      <c r="G267" s="11"/>
      <c r="H267" s="11"/>
      <c r="I267" s="11"/>
      <c r="J267" s="11"/>
      <c r="K267" s="11"/>
      <c r="L267" s="15"/>
      <c r="M267" s="15"/>
      <c r="N267" s="15"/>
      <c r="O267" s="15"/>
      <c r="P267" s="15"/>
      <c r="Q267" s="11"/>
      <c r="R267" s="11"/>
      <c r="S267" s="11"/>
      <c r="T267" s="11"/>
      <c r="U267" s="15"/>
      <c r="V267" s="11"/>
      <c r="W267" s="11"/>
      <c r="X267" s="11"/>
      <c r="Y267" s="11"/>
      <c r="Z267" s="11"/>
    </row>
    <row r="268">
      <c r="A268" s="18"/>
      <c r="B268" s="11"/>
      <c r="C268" s="11"/>
      <c r="D268" s="11"/>
      <c r="E268" s="11"/>
      <c r="F268" s="11"/>
      <c r="G268" s="11"/>
      <c r="H268" s="11"/>
      <c r="I268" s="11"/>
      <c r="J268" s="11"/>
      <c r="K268" s="11"/>
      <c r="L268" s="15"/>
      <c r="M268" s="15"/>
      <c r="N268" s="15"/>
      <c r="O268" s="15"/>
      <c r="P268" s="15"/>
      <c r="Q268" s="11"/>
      <c r="R268" s="11"/>
      <c r="S268" s="11"/>
      <c r="T268" s="11"/>
      <c r="U268" s="15"/>
      <c r="V268" s="11"/>
      <c r="W268" s="11"/>
      <c r="X268" s="11"/>
      <c r="Y268" s="11"/>
      <c r="Z268" s="11"/>
    </row>
    <row r="269">
      <c r="A269" s="18"/>
      <c r="B269" s="11"/>
      <c r="C269" s="11"/>
      <c r="D269" s="11"/>
      <c r="E269" s="11"/>
      <c r="F269" s="11"/>
      <c r="G269" s="11"/>
      <c r="H269" s="11"/>
      <c r="I269" s="11"/>
      <c r="J269" s="11"/>
      <c r="K269" s="11"/>
      <c r="L269" s="15"/>
      <c r="M269" s="15"/>
      <c r="N269" s="15"/>
      <c r="O269" s="15"/>
      <c r="P269" s="15"/>
      <c r="Q269" s="11"/>
      <c r="R269" s="11"/>
      <c r="S269" s="11"/>
      <c r="T269" s="11"/>
      <c r="U269" s="15"/>
      <c r="V269" s="11"/>
      <c r="W269" s="11"/>
      <c r="X269" s="11"/>
      <c r="Y269" s="11"/>
      <c r="Z269" s="11"/>
    </row>
    <row r="270">
      <c r="A270" s="18"/>
      <c r="B270" s="11"/>
      <c r="C270" s="11"/>
      <c r="D270" s="11"/>
      <c r="E270" s="11"/>
      <c r="F270" s="11"/>
      <c r="G270" s="11"/>
      <c r="H270" s="11"/>
      <c r="I270" s="11"/>
      <c r="J270" s="11"/>
      <c r="K270" s="11"/>
      <c r="L270" s="15"/>
      <c r="M270" s="15"/>
      <c r="N270" s="15"/>
      <c r="O270" s="15"/>
      <c r="P270" s="15"/>
      <c r="Q270" s="11"/>
      <c r="R270" s="11"/>
      <c r="S270" s="11"/>
      <c r="T270" s="11"/>
      <c r="U270" s="15"/>
      <c r="V270" s="11"/>
      <c r="W270" s="11"/>
      <c r="X270" s="11"/>
      <c r="Y270" s="11"/>
      <c r="Z270" s="11"/>
    </row>
    <row r="271">
      <c r="A271" s="18"/>
      <c r="B271" s="11"/>
      <c r="C271" s="11"/>
      <c r="D271" s="11"/>
      <c r="E271" s="11"/>
      <c r="F271" s="11"/>
      <c r="G271" s="11"/>
      <c r="H271" s="11"/>
      <c r="I271" s="11"/>
      <c r="J271" s="11"/>
      <c r="K271" s="11"/>
      <c r="L271" s="15"/>
      <c r="M271" s="15"/>
      <c r="N271" s="15"/>
      <c r="O271" s="15"/>
      <c r="P271" s="15"/>
      <c r="Q271" s="11"/>
      <c r="R271" s="11"/>
      <c r="S271" s="11"/>
      <c r="T271" s="11"/>
      <c r="U271" s="15"/>
      <c r="V271" s="11"/>
      <c r="W271" s="11"/>
      <c r="X271" s="11"/>
      <c r="Y271" s="11"/>
      <c r="Z271" s="11"/>
    </row>
    <row r="272">
      <c r="A272" s="18"/>
      <c r="B272" s="11"/>
      <c r="C272" s="11"/>
      <c r="D272" s="11"/>
      <c r="E272" s="11"/>
      <c r="F272" s="11"/>
      <c r="G272" s="11"/>
      <c r="H272" s="11"/>
      <c r="I272" s="11"/>
      <c r="J272" s="11"/>
      <c r="K272" s="11"/>
      <c r="L272" s="15"/>
      <c r="M272" s="15"/>
      <c r="N272" s="15"/>
      <c r="O272" s="15"/>
      <c r="P272" s="15"/>
      <c r="Q272" s="11"/>
      <c r="R272" s="11"/>
      <c r="S272" s="11"/>
      <c r="T272" s="11"/>
      <c r="U272" s="15"/>
      <c r="V272" s="11"/>
      <c r="W272" s="11"/>
      <c r="X272" s="11"/>
      <c r="Y272" s="11"/>
      <c r="Z272" s="11"/>
    </row>
    <row r="273">
      <c r="A273" s="18"/>
      <c r="B273" s="11"/>
      <c r="C273" s="11"/>
      <c r="D273" s="11"/>
      <c r="E273" s="11"/>
      <c r="F273" s="11"/>
      <c r="G273" s="11"/>
      <c r="H273" s="11"/>
      <c r="I273" s="11"/>
      <c r="J273" s="11"/>
      <c r="K273" s="11"/>
      <c r="L273" s="15"/>
      <c r="M273" s="15"/>
      <c r="N273" s="15"/>
      <c r="O273" s="15"/>
      <c r="P273" s="15"/>
      <c r="Q273" s="11"/>
      <c r="R273" s="11"/>
      <c r="S273" s="11"/>
      <c r="T273" s="11"/>
      <c r="U273" s="15"/>
      <c r="V273" s="11"/>
      <c r="W273" s="11"/>
      <c r="X273" s="11"/>
      <c r="Y273" s="11"/>
      <c r="Z273" s="11"/>
    </row>
    <row r="274">
      <c r="A274" s="18"/>
      <c r="B274" s="11"/>
      <c r="C274" s="11"/>
      <c r="D274" s="11"/>
      <c r="E274" s="11"/>
      <c r="F274" s="11"/>
      <c r="G274" s="11"/>
      <c r="H274" s="11"/>
      <c r="I274" s="11"/>
      <c r="J274" s="11"/>
      <c r="K274" s="11"/>
      <c r="L274" s="15"/>
      <c r="M274" s="15"/>
      <c r="N274" s="15"/>
      <c r="O274" s="15"/>
      <c r="P274" s="15"/>
      <c r="Q274" s="11"/>
      <c r="R274" s="11"/>
      <c r="S274" s="11"/>
      <c r="T274" s="11"/>
      <c r="U274" s="15"/>
      <c r="V274" s="11"/>
      <c r="W274" s="11"/>
      <c r="X274" s="11"/>
      <c r="Y274" s="11"/>
      <c r="Z274" s="11"/>
    </row>
    <row r="275">
      <c r="A275" s="18"/>
      <c r="B275" s="11"/>
      <c r="C275" s="11"/>
      <c r="D275" s="11"/>
      <c r="E275" s="11"/>
      <c r="F275" s="11"/>
      <c r="G275" s="11"/>
      <c r="H275" s="11"/>
      <c r="I275" s="11"/>
      <c r="J275" s="11"/>
      <c r="K275" s="11"/>
      <c r="L275" s="15"/>
      <c r="M275" s="15"/>
      <c r="N275" s="15"/>
      <c r="O275" s="15"/>
      <c r="P275" s="15"/>
      <c r="Q275" s="11"/>
      <c r="R275" s="11"/>
      <c r="S275" s="11"/>
      <c r="T275" s="11"/>
      <c r="U275" s="15"/>
      <c r="V275" s="11"/>
      <c r="W275" s="11"/>
      <c r="X275" s="11"/>
      <c r="Y275" s="11"/>
      <c r="Z275" s="11"/>
    </row>
    <row r="276">
      <c r="A276" s="18"/>
      <c r="B276" s="11"/>
      <c r="C276" s="11"/>
      <c r="D276" s="11"/>
      <c r="E276" s="11"/>
      <c r="F276" s="11"/>
      <c r="G276" s="11"/>
      <c r="H276" s="11"/>
      <c r="I276" s="11"/>
      <c r="J276" s="11"/>
      <c r="K276" s="11"/>
      <c r="L276" s="15"/>
      <c r="M276" s="15"/>
      <c r="N276" s="15"/>
      <c r="O276" s="15"/>
      <c r="P276" s="15"/>
      <c r="Q276" s="11"/>
      <c r="R276" s="11"/>
      <c r="S276" s="11"/>
      <c r="T276" s="11"/>
      <c r="U276" s="15"/>
      <c r="V276" s="11"/>
      <c r="W276" s="11"/>
      <c r="X276" s="11"/>
      <c r="Y276" s="11"/>
      <c r="Z276" s="11"/>
    </row>
    <row r="277">
      <c r="A277" s="18"/>
      <c r="B277" s="11"/>
      <c r="C277" s="11"/>
      <c r="D277" s="11"/>
      <c r="E277" s="11"/>
      <c r="F277" s="11"/>
      <c r="G277" s="11"/>
      <c r="H277" s="11"/>
      <c r="I277" s="11"/>
      <c r="J277" s="11"/>
      <c r="K277" s="11"/>
      <c r="L277" s="15"/>
      <c r="M277" s="15"/>
      <c r="N277" s="15"/>
      <c r="O277" s="15"/>
      <c r="P277" s="15"/>
      <c r="Q277" s="11"/>
      <c r="R277" s="11"/>
      <c r="S277" s="11"/>
      <c r="T277" s="11"/>
      <c r="U277" s="15"/>
      <c r="V277" s="11"/>
      <c r="W277" s="11"/>
      <c r="X277" s="11"/>
      <c r="Y277" s="11"/>
      <c r="Z277" s="11"/>
    </row>
    <row r="278">
      <c r="A278" s="18"/>
      <c r="B278" s="11"/>
      <c r="C278" s="11"/>
      <c r="D278" s="11"/>
      <c r="E278" s="11"/>
      <c r="F278" s="11"/>
      <c r="G278" s="11"/>
      <c r="H278" s="11"/>
      <c r="I278" s="11"/>
      <c r="J278" s="11"/>
      <c r="K278" s="11"/>
      <c r="L278" s="15"/>
      <c r="M278" s="15"/>
      <c r="N278" s="15"/>
      <c r="O278" s="15"/>
      <c r="P278" s="15"/>
      <c r="Q278" s="11"/>
      <c r="R278" s="11"/>
      <c r="S278" s="11"/>
      <c r="T278" s="11"/>
      <c r="U278" s="15"/>
      <c r="V278" s="11"/>
      <c r="W278" s="11"/>
      <c r="X278" s="11"/>
      <c r="Y278" s="11"/>
      <c r="Z278" s="11"/>
    </row>
    <row r="279">
      <c r="A279" s="18"/>
      <c r="B279" s="11"/>
      <c r="C279" s="11"/>
      <c r="D279" s="11"/>
      <c r="E279" s="11"/>
      <c r="F279" s="11"/>
      <c r="G279" s="11"/>
      <c r="H279" s="11"/>
      <c r="I279" s="11"/>
      <c r="J279" s="11"/>
      <c r="K279" s="11"/>
      <c r="L279" s="15"/>
      <c r="M279" s="15"/>
      <c r="N279" s="15"/>
      <c r="O279" s="15"/>
      <c r="P279" s="15"/>
      <c r="Q279" s="11"/>
      <c r="R279" s="11"/>
      <c r="S279" s="11"/>
      <c r="T279" s="11"/>
      <c r="U279" s="15"/>
      <c r="V279" s="11"/>
      <c r="W279" s="11"/>
      <c r="X279" s="11"/>
      <c r="Y279" s="11"/>
      <c r="Z279" s="11"/>
    </row>
    <row r="280">
      <c r="A280" s="18"/>
      <c r="B280" s="11"/>
      <c r="C280" s="11"/>
      <c r="D280" s="11"/>
      <c r="E280" s="11"/>
      <c r="F280" s="11"/>
      <c r="G280" s="11"/>
      <c r="H280" s="11"/>
      <c r="I280" s="11"/>
      <c r="J280" s="11"/>
      <c r="K280" s="11"/>
      <c r="L280" s="15"/>
      <c r="M280" s="15"/>
      <c r="N280" s="15"/>
      <c r="O280" s="15"/>
      <c r="P280" s="15"/>
      <c r="Q280" s="11"/>
      <c r="R280" s="11"/>
      <c r="S280" s="11"/>
      <c r="T280" s="11"/>
      <c r="U280" s="15"/>
      <c r="V280" s="11"/>
      <c r="W280" s="11"/>
      <c r="X280" s="11"/>
      <c r="Y280" s="11"/>
      <c r="Z280" s="11"/>
    </row>
    <row r="281">
      <c r="A281" s="18"/>
      <c r="B281" s="11"/>
      <c r="C281" s="11"/>
      <c r="D281" s="11"/>
      <c r="E281" s="11"/>
      <c r="F281" s="11"/>
      <c r="G281" s="11"/>
      <c r="H281" s="11"/>
      <c r="I281" s="11"/>
      <c r="J281" s="11"/>
      <c r="K281" s="11"/>
      <c r="L281" s="15"/>
      <c r="M281" s="15"/>
      <c r="N281" s="15"/>
      <c r="O281" s="15"/>
      <c r="P281" s="15"/>
      <c r="Q281" s="11"/>
      <c r="R281" s="11"/>
      <c r="S281" s="11"/>
      <c r="T281" s="11"/>
      <c r="U281" s="15"/>
      <c r="V281" s="11"/>
      <c r="W281" s="11"/>
      <c r="X281" s="11"/>
      <c r="Y281" s="11"/>
      <c r="Z281" s="11"/>
    </row>
    <row r="282">
      <c r="A282" s="18"/>
      <c r="B282" s="11"/>
      <c r="C282" s="11"/>
      <c r="D282" s="11"/>
      <c r="E282" s="11"/>
      <c r="F282" s="11"/>
      <c r="G282" s="11"/>
      <c r="H282" s="11"/>
      <c r="I282" s="11"/>
      <c r="J282" s="11"/>
      <c r="K282" s="11"/>
      <c r="L282" s="15"/>
      <c r="M282" s="15"/>
      <c r="N282" s="15"/>
      <c r="O282" s="15"/>
      <c r="P282" s="15"/>
      <c r="Q282" s="11"/>
      <c r="R282" s="11"/>
      <c r="S282" s="11"/>
      <c r="T282" s="11"/>
      <c r="U282" s="15"/>
      <c r="V282" s="11"/>
      <c r="W282" s="11"/>
      <c r="X282" s="11"/>
      <c r="Y282" s="11"/>
      <c r="Z282" s="11"/>
    </row>
    <row r="283">
      <c r="A283" s="18"/>
      <c r="B283" s="11"/>
      <c r="C283" s="11"/>
      <c r="D283" s="11"/>
      <c r="E283" s="11"/>
      <c r="F283" s="11"/>
      <c r="G283" s="11"/>
      <c r="H283" s="11"/>
      <c r="I283" s="11"/>
      <c r="J283" s="11"/>
      <c r="K283" s="11"/>
      <c r="L283" s="15"/>
      <c r="M283" s="15"/>
      <c r="N283" s="15"/>
      <c r="O283" s="15"/>
      <c r="P283" s="15"/>
      <c r="Q283" s="11"/>
      <c r="R283" s="11"/>
      <c r="S283" s="11"/>
      <c r="T283" s="11"/>
      <c r="U283" s="15"/>
      <c r="V283" s="11"/>
      <c r="W283" s="11"/>
      <c r="X283" s="11"/>
      <c r="Y283" s="11"/>
      <c r="Z283" s="11"/>
    </row>
    <row r="284">
      <c r="A284" s="18"/>
      <c r="B284" s="11"/>
      <c r="C284" s="11"/>
      <c r="D284" s="11"/>
      <c r="E284" s="11"/>
      <c r="F284" s="11"/>
      <c r="G284" s="11"/>
      <c r="H284" s="11"/>
      <c r="I284" s="11"/>
      <c r="J284" s="11"/>
      <c r="K284" s="11"/>
      <c r="L284" s="15"/>
      <c r="M284" s="15"/>
      <c r="N284" s="15"/>
      <c r="O284" s="15"/>
      <c r="P284" s="15"/>
      <c r="Q284" s="11"/>
      <c r="R284" s="11"/>
      <c r="S284" s="11"/>
      <c r="T284" s="11"/>
      <c r="U284" s="15"/>
      <c r="V284" s="11"/>
      <c r="W284" s="11"/>
      <c r="X284" s="11"/>
      <c r="Y284" s="11"/>
      <c r="Z284" s="11"/>
    </row>
    <row r="285">
      <c r="A285" s="18"/>
      <c r="B285" s="11"/>
      <c r="C285" s="11"/>
      <c r="D285" s="11"/>
      <c r="E285" s="11"/>
      <c r="F285" s="11"/>
      <c r="G285" s="11"/>
      <c r="H285" s="11"/>
      <c r="I285" s="11"/>
      <c r="J285" s="11"/>
      <c r="K285" s="11"/>
      <c r="L285" s="15"/>
      <c r="M285" s="15"/>
      <c r="N285" s="15"/>
      <c r="O285" s="15"/>
      <c r="P285" s="15"/>
      <c r="Q285" s="11"/>
      <c r="R285" s="11"/>
      <c r="S285" s="11"/>
      <c r="T285" s="11"/>
      <c r="U285" s="15"/>
      <c r="V285" s="11"/>
      <c r="W285" s="11"/>
      <c r="X285" s="11"/>
      <c r="Y285" s="11"/>
      <c r="Z285" s="11"/>
    </row>
    <row r="286">
      <c r="A286" s="18"/>
      <c r="B286" s="11"/>
      <c r="C286" s="11"/>
      <c r="D286" s="11"/>
      <c r="E286" s="11"/>
      <c r="F286" s="11"/>
      <c r="G286" s="11"/>
      <c r="H286" s="11"/>
      <c r="I286" s="11"/>
      <c r="J286" s="11"/>
      <c r="K286" s="11"/>
      <c r="L286" s="15"/>
      <c r="M286" s="15"/>
      <c r="N286" s="15"/>
      <c r="O286" s="15"/>
      <c r="P286" s="15"/>
      <c r="Q286" s="11"/>
      <c r="R286" s="11"/>
      <c r="S286" s="11"/>
      <c r="T286" s="11"/>
      <c r="U286" s="15"/>
      <c r="V286" s="11"/>
      <c r="W286" s="11"/>
      <c r="X286" s="11"/>
      <c r="Y286" s="11"/>
      <c r="Z286" s="11"/>
    </row>
    <row r="287">
      <c r="A287" s="18"/>
      <c r="B287" s="11"/>
      <c r="C287" s="11"/>
      <c r="D287" s="11"/>
      <c r="E287" s="11"/>
      <c r="F287" s="11"/>
      <c r="G287" s="11"/>
      <c r="H287" s="11"/>
      <c r="I287" s="11"/>
      <c r="J287" s="11"/>
      <c r="K287" s="11"/>
      <c r="L287" s="15"/>
      <c r="M287" s="15"/>
      <c r="N287" s="15"/>
      <c r="O287" s="15"/>
      <c r="P287" s="15"/>
      <c r="Q287" s="11"/>
      <c r="R287" s="11"/>
      <c r="S287" s="11"/>
      <c r="T287" s="11"/>
      <c r="U287" s="15"/>
      <c r="V287" s="11"/>
      <c r="W287" s="11"/>
      <c r="X287" s="11"/>
      <c r="Y287" s="11"/>
      <c r="Z287" s="11"/>
    </row>
    <row r="288">
      <c r="A288" s="18"/>
      <c r="B288" s="11"/>
      <c r="C288" s="11"/>
      <c r="D288" s="11"/>
      <c r="E288" s="11"/>
      <c r="F288" s="11"/>
      <c r="G288" s="11"/>
      <c r="H288" s="11"/>
      <c r="I288" s="11"/>
      <c r="J288" s="11"/>
      <c r="K288" s="11"/>
      <c r="L288" s="15"/>
      <c r="M288" s="15"/>
      <c r="N288" s="15"/>
      <c r="O288" s="15"/>
      <c r="P288" s="15"/>
      <c r="Q288" s="11"/>
      <c r="R288" s="11"/>
      <c r="S288" s="11"/>
      <c r="T288" s="11"/>
      <c r="U288" s="15"/>
      <c r="V288" s="11"/>
      <c r="W288" s="11"/>
      <c r="X288" s="11"/>
      <c r="Y288" s="11"/>
      <c r="Z288" s="11"/>
    </row>
    <row r="289">
      <c r="A289" s="18"/>
      <c r="B289" s="11"/>
      <c r="C289" s="11"/>
      <c r="D289" s="11"/>
      <c r="E289" s="11"/>
      <c r="F289" s="11"/>
      <c r="G289" s="11"/>
      <c r="H289" s="11"/>
      <c r="I289" s="11"/>
      <c r="J289" s="11"/>
      <c r="K289" s="11"/>
      <c r="L289" s="15"/>
      <c r="M289" s="15"/>
      <c r="N289" s="15"/>
      <c r="O289" s="15"/>
      <c r="P289" s="15"/>
      <c r="Q289" s="11"/>
      <c r="R289" s="11"/>
      <c r="S289" s="11"/>
      <c r="T289" s="11"/>
      <c r="U289" s="15"/>
      <c r="V289" s="11"/>
      <c r="W289" s="11"/>
      <c r="X289" s="11"/>
      <c r="Y289" s="11"/>
      <c r="Z289" s="11"/>
    </row>
    <row r="290">
      <c r="A290" s="18"/>
      <c r="B290" s="11"/>
      <c r="C290" s="11"/>
      <c r="D290" s="11"/>
      <c r="E290" s="11"/>
      <c r="F290" s="11"/>
      <c r="G290" s="11"/>
      <c r="H290" s="11"/>
      <c r="I290" s="11"/>
      <c r="J290" s="11"/>
      <c r="K290" s="11"/>
      <c r="L290" s="15"/>
      <c r="M290" s="15"/>
      <c r="N290" s="15"/>
      <c r="O290" s="15"/>
      <c r="P290" s="15"/>
      <c r="Q290" s="11"/>
      <c r="R290" s="11"/>
      <c r="S290" s="11"/>
      <c r="T290" s="11"/>
      <c r="U290" s="15"/>
      <c r="V290" s="11"/>
      <c r="W290" s="11"/>
      <c r="X290" s="11"/>
      <c r="Y290" s="11"/>
      <c r="Z290" s="11"/>
    </row>
    <row r="291">
      <c r="A291" s="18"/>
      <c r="B291" s="11"/>
      <c r="C291" s="11"/>
      <c r="D291" s="11"/>
      <c r="E291" s="11"/>
      <c r="F291" s="11"/>
      <c r="G291" s="11"/>
      <c r="H291" s="11"/>
      <c r="I291" s="11"/>
      <c r="J291" s="11"/>
      <c r="K291" s="11"/>
      <c r="L291" s="15"/>
      <c r="M291" s="15"/>
      <c r="N291" s="15"/>
      <c r="O291" s="15"/>
      <c r="P291" s="15"/>
      <c r="Q291" s="11"/>
      <c r="R291" s="11"/>
      <c r="S291" s="11"/>
      <c r="T291" s="11"/>
      <c r="U291" s="15"/>
      <c r="V291" s="11"/>
      <c r="W291" s="11"/>
      <c r="X291" s="11"/>
      <c r="Y291" s="11"/>
      <c r="Z291" s="11"/>
    </row>
    <row r="292">
      <c r="A292" s="18"/>
      <c r="B292" s="11"/>
      <c r="C292" s="11"/>
      <c r="D292" s="11"/>
      <c r="E292" s="11"/>
      <c r="F292" s="11"/>
      <c r="G292" s="11"/>
      <c r="H292" s="11"/>
      <c r="I292" s="11"/>
      <c r="J292" s="11"/>
      <c r="K292" s="11"/>
      <c r="L292" s="15"/>
      <c r="M292" s="15"/>
      <c r="N292" s="15"/>
      <c r="O292" s="15"/>
      <c r="P292" s="15"/>
      <c r="Q292" s="11"/>
      <c r="R292" s="11"/>
      <c r="S292" s="11"/>
      <c r="T292" s="11"/>
      <c r="U292" s="15"/>
      <c r="V292" s="11"/>
      <c r="W292" s="11"/>
      <c r="X292" s="11"/>
      <c r="Y292" s="11"/>
      <c r="Z292" s="11"/>
    </row>
    <row r="293">
      <c r="A293" s="18"/>
      <c r="B293" s="11"/>
      <c r="C293" s="11"/>
      <c r="D293" s="11"/>
      <c r="E293" s="11"/>
      <c r="F293" s="11"/>
      <c r="G293" s="11"/>
      <c r="H293" s="11"/>
      <c r="I293" s="11"/>
      <c r="J293" s="11"/>
      <c r="K293" s="11"/>
      <c r="L293" s="15"/>
      <c r="M293" s="15"/>
      <c r="N293" s="15"/>
      <c r="O293" s="15"/>
      <c r="P293" s="15"/>
      <c r="Q293" s="11"/>
      <c r="R293" s="11"/>
      <c r="S293" s="11"/>
      <c r="T293" s="11"/>
      <c r="U293" s="15"/>
      <c r="V293" s="11"/>
      <c r="W293" s="11"/>
      <c r="X293" s="11"/>
      <c r="Y293" s="11"/>
      <c r="Z293" s="11"/>
    </row>
    <row r="294">
      <c r="A294" s="18"/>
      <c r="B294" s="11"/>
      <c r="C294" s="11"/>
      <c r="D294" s="11"/>
      <c r="E294" s="11"/>
      <c r="F294" s="11"/>
      <c r="G294" s="11"/>
      <c r="H294" s="11"/>
      <c r="I294" s="11"/>
      <c r="J294" s="11"/>
      <c r="K294" s="11"/>
      <c r="L294" s="15"/>
      <c r="M294" s="15"/>
      <c r="N294" s="15"/>
      <c r="O294" s="15"/>
      <c r="P294" s="15"/>
      <c r="Q294" s="11"/>
      <c r="R294" s="11"/>
      <c r="S294" s="11"/>
      <c r="T294" s="11"/>
      <c r="U294" s="15"/>
      <c r="V294" s="11"/>
      <c r="W294" s="11"/>
      <c r="X294" s="11"/>
      <c r="Y294" s="11"/>
      <c r="Z294" s="11"/>
    </row>
    <row r="295">
      <c r="A295" s="18"/>
      <c r="B295" s="11"/>
      <c r="C295" s="11"/>
      <c r="D295" s="11"/>
      <c r="E295" s="11"/>
      <c r="F295" s="11"/>
      <c r="G295" s="11"/>
      <c r="H295" s="11"/>
      <c r="I295" s="11"/>
      <c r="J295" s="11"/>
      <c r="K295" s="11"/>
      <c r="L295" s="15"/>
      <c r="M295" s="15"/>
      <c r="N295" s="15"/>
      <c r="O295" s="15"/>
      <c r="P295" s="15"/>
      <c r="Q295" s="11"/>
      <c r="R295" s="11"/>
      <c r="S295" s="11"/>
      <c r="T295" s="11"/>
      <c r="U295" s="15"/>
      <c r="V295" s="11"/>
      <c r="W295" s="11"/>
      <c r="X295" s="11"/>
      <c r="Y295" s="11"/>
      <c r="Z295" s="11"/>
    </row>
    <row r="296">
      <c r="A296" s="18"/>
      <c r="B296" s="11"/>
      <c r="C296" s="11"/>
      <c r="D296" s="11"/>
      <c r="E296" s="11"/>
      <c r="F296" s="11"/>
      <c r="G296" s="11"/>
      <c r="H296" s="11"/>
      <c r="I296" s="11"/>
      <c r="J296" s="11"/>
      <c r="K296" s="11"/>
      <c r="L296" s="15"/>
      <c r="M296" s="15"/>
      <c r="N296" s="15"/>
      <c r="O296" s="15"/>
      <c r="P296" s="15"/>
      <c r="Q296" s="11"/>
      <c r="R296" s="11"/>
      <c r="S296" s="11"/>
      <c r="T296" s="11"/>
      <c r="U296" s="15"/>
      <c r="V296" s="11"/>
      <c r="W296" s="11"/>
      <c r="X296" s="11"/>
      <c r="Y296" s="11"/>
      <c r="Z296" s="11"/>
    </row>
    <row r="297">
      <c r="A297" s="18"/>
      <c r="B297" s="11"/>
      <c r="C297" s="11"/>
      <c r="D297" s="11"/>
      <c r="E297" s="11"/>
      <c r="F297" s="11"/>
      <c r="G297" s="11"/>
      <c r="H297" s="11"/>
      <c r="I297" s="11"/>
      <c r="J297" s="11"/>
      <c r="K297" s="11"/>
      <c r="L297" s="15"/>
      <c r="M297" s="15"/>
      <c r="N297" s="15"/>
      <c r="O297" s="15"/>
      <c r="P297" s="15"/>
      <c r="Q297" s="11"/>
      <c r="R297" s="11"/>
      <c r="S297" s="11"/>
      <c r="T297" s="11"/>
      <c r="U297" s="15"/>
      <c r="V297" s="11"/>
      <c r="W297" s="11"/>
      <c r="X297" s="11"/>
      <c r="Y297" s="11"/>
      <c r="Z297" s="11"/>
    </row>
    <row r="298">
      <c r="A298" s="18"/>
      <c r="B298" s="11"/>
      <c r="C298" s="11"/>
      <c r="D298" s="11"/>
      <c r="E298" s="11"/>
      <c r="F298" s="11"/>
      <c r="G298" s="11"/>
      <c r="H298" s="11"/>
      <c r="I298" s="11"/>
      <c r="J298" s="11"/>
      <c r="K298" s="11"/>
      <c r="L298" s="15"/>
      <c r="M298" s="15"/>
      <c r="N298" s="15"/>
      <c r="O298" s="15"/>
      <c r="P298" s="15"/>
      <c r="Q298" s="11"/>
      <c r="R298" s="11"/>
      <c r="S298" s="11"/>
      <c r="T298" s="11"/>
      <c r="U298" s="15"/>
      <c r="V298" s="11"/>
      <c r="W298" s="11"/>
      <c r="X298" s="11"/>
      <c r="Y298" s="11"/>
      <c r="Z298" s="11"/>
    </row>
    <row r="299">
      <c r="A299" s="18"/>
      <c r="B299" s="11"/>
      <c r="C299" s="11"/>
      <c r="D299" s="11"/>
      <c r="E299" s="11"/>
      <c r="F299" s="11"/>
      <c r="G299" s="11"/>
      <c r="H299" s="11"/>
      <c r="I299" s="11"/>
      <c r="J299" s="11"/>
      <c r="K299" s="11"/>
      <c r="L299" s="15"/>
      <c r="M299" s="15"/>
      <c r="N299" s="15"/>
      <c r="O299" s="15"/>
      <c r="P299" s="15"/>
      <c r="Q299" s="11"/>
      <c r="R299" s="11"/>
      <c r="S299" s="11"/>
      <c r="T299" s="11"/>
      <c r="U299" s="15"/>
      <c r="V299" s="11"/>
      <c r="W299" s="11"/>
      <c r="X299" s="11"/>
      <c r="Y299" s="11"/>
      <c r="Z299" s="11"/>
    </row>
    <row r="300">
      <c r="A300" s="18"/>
      <c r="B300" s="11"/>
      <c r="C300" s="11"/>
      <c r="D300" s="11"/>
      <c r="E300" s="11"/>
      <c r="F300" s="11"/>
      <c r="G300" s="11"/>
      <c r="H300" s="11"/>
      <c r="I300" s="11"/>
      <c r="J300" s="11"/>
      <c r="K300" s="11"/>
      <c r="L300" s="15"/>
      <c r="M300" s="15"/>
      <c r="N300" s="15"/>
      <c r="O300" s="15"/>
      <c r="P300" s="15"/>
      <c r="Q300" s="11"/>
      <c r="R300" s="11"/>
      <c r="S300" s="11"/>
      <c r="T300" s="11"/>
      <c r="U300" s="15"/>
      <c r="V300" s="11"/>
      <c r="W300" s="11"/>
      <c r="X300" s="11"/>
      <c r="Y300" s="11"/>
      <c r="Z300" s="11"/>
    </row>
    <row r="301">
      <c r="A301" s="18"/>
      <c r="B301" s="11"/>
      <c r="C301" s="11"/>
      <c r="D301" s="11"/>
      <c r="E301" s="11"/>
      <c r="F301" s="11"/>
      <c r="G301" s="11"/>
      <c r="H301" s="11"/>
      <c r="I301" s="11"/>
      <c r="J301" s="11"/>
      <c r="K301" s="11"/>
      <c r="L301" s="15"/>
      <c r="M301" s="15"/>
      <c r="N301" s="15"/>
      <c r="O301" s="15"/>
      <c r="P301" s="15"/>
      <c r="Q301" s="11"/>
      <c r="R301" s="11"/>
      <c r="S301" s="11"/>
      <c r="T301" s="11"/>
      <c r="U301" s="15"/>
      <c r="V301" s="11"/>
      <c r="W301" s="11"/>
      <c r="X301" s="11"/>
      <c r="Y301" s="11"/>
      <c r="Z301" s="11"/>
    </row>
    <row r="302">
      <c r="A302" s="18"/>
      <c r="B302" s="11"/>
      <c r="C302" s="11"/>
      <c r="D302" s="11"/>
      <c r="E302" s="11"/>
      <c r="F302" s="11"/>
      <c r="G302" s="11"/>
      <c r="H302" s="11"/>
      <c r="I302" s="11"/>
      <c r="J302" s="11"/>
      <c r="K302" s="11"/>
      <c r="L302" s="15"/>
      <c r="M302" s="15"/>
      <c r="N302" s="15"/>
      <c r="O302" s="15"/>
      <c r="P302" s="15"/>
      <c r="Q302" s="11"/>
      <c r="R302" s="11"/>
      <c r="S302" s="11"/>
      <c r="T302" s="11"/>
      <c r="U302" s="15"/>
      <c r="V302" s="11"/>
      <c r="W302" s="11"/>
      <c r="X302" s="11"/>
      <c r="Y302" s="11"/>
      <c r="Z302" s="11"/>
    </row>
    <row r="303">
      <c r="A303" s="18"/>
      <c r="B303" s="11"/>
      <c r="C303" s="11"/>
      <c r="D303" s="11"/>
      <c r="E303" s="11"/>
      <c r="F303" s="11"/>
      <c r="G303" s="11"/>
      <c r="H303" s="11"/>
      <c r="I303" s="11"/>
      <c r="J303" s="11"/>
      <c r="K303" s="11"/>
      <c r="L303" s="15"/>
      <c r="M303" s="15"/>
      <c r="N303" s="15"/>
      <c r="O303" s="15"/>
      <c r="P303" s="15"/>
      <c r="Q303" s="11"/>
      <c r="R303" s="11"/>
      <c r="S303" s="11"/>
      <c r="T303" s="11"/>
      <c r="U303" s="15"/>
      <c r="V303" s="11"/>
      <c r="W303" s="11"/>
      <c r="X303" s="11"/>
      <c r="Y303" s="11"/>
      <c r="Z303" s="11"/>
    </row>
    <row r="304">
      <c r="A304" s="18"/>
      <c r="B304" s="11"/>
      <c r="C304" s="11"/>
      <c r="D304" s="11"/>
      <c r="E304" s="11"/>
      <c r="F304" s="11"/>
      <c r="G304" s="11"/>
      <c r="H304" s="11"/>
      <c r="I304" s="11"/>
      <c r="J304" s="11"/>
      <c r="K304" s="11"/>
      <c r="L304" s="15"/>
      <c r="M304" s="15"/>
      <c r="N304" s="15"/>
      <c r="O304" s="15"/>
      <c r="P304" s="15"/>
      <c r="Q304" s="11"/>
      <c r="R304" s="11"/>
      <c r="S304" s="11"/>
      <c r="T304" s="11"/>
      <c r="U304" s="15"/>
      <c r="V304" s="11"/>
      <c r="W304" s="11"/>
      <c r="X304" s="11"/>
      <c r="Y304" s="11"/>
      <c r="Z304" s="11"/>
    </row>
    <row r="305">
      <c r="A305" s="18"/>
      <c r="B305" s="11"/>
      <c r="C305" s="11"/>
      <c r="D305" s="11"/>
      <c r="E305" s="11"/>
      <c r="F305" s="11"/>
      <c r="G305" s="11"/>
      <c r="H305" s="11"/>
      <c r="I305" s="11"/>
      <c r="J305" s="11"/>
      <c r="K305" s="11"/>
      <c r="L305" s="15"/>
      <c r="M305" s="15"/>
      <c r="N305" s="15"/>
      <c r="O305" s="15"/>
      <c r="P305" s="15"/>
      <c r="Q305" s="11"/>
      <c r="R305" s="11"/>
      <c r="S305" s="11"/>
      <c r="T305" s="11"/>
      <c r="U305" s="15"/>
      <c r="V305" s="11"/>
      <c r="W305" s="11"/>
      <c r="X305" s="11"/>
      <c r="Y305" s="11"/>
      <c r="Z305" s="11"/>
    </row>
    <row r="306">
      <c r="A306" s="18"/>
      <c r="B306" s="11"/>
      <c r="C306" s="11"/>
      <c r="D306" s="11"/>
      <c r="E306" s="11"/>
      <c r="F306" s="11"/>
      <c r="G306" s="11"/>
      <c r="H306" s="11"/>
      <c r="I306" s="11"/>
      <c r="J306" s="11"/>
      <c r="K306" s="11"/>
      <c r="L306" s="15"/>
      <c r="M306" s="15"/>
      <c r="N306" s="15"/>
      <c r="O306" s="15"/>
      <c r="P306" s="15"/>
      <c r="Q306" s="11"/>
      <c r="R306" s="11"/>
      <c r="S306" s="11"/>
      <c r="T306" s="11"/>
      <c r="U306" s="15"/>
      <c r="V306" s="11"/>
      <c r="W306" s="11"/>
      <c r="X306" s="11"/>
      <c r="Y306" s="11"/>
      <c r="Z306" s="11"/>
    </row>
    <row r="307">
      <c r="A307" s="18"/>
      <c r="B307" s="11"/>
      <c r="C307" s="11"/>
      <c r="D307" s="11"/>
      <c r="E307" s="11"/>
      <c r="F307" s="11"/>
      <c r="G307" s="11"/>
      <c r="H307" s="11"/>
      <c r="I307" s="11"/>
      <c r="J307" s="11"/>
      <c r="K307" s="11"/>
      <c r="L307" s="15"/>
      <c r="M307" s="15"/>
      <c r="N307" s="15"/>
      <c r="O307" s="15"/>
      <c r="P307" s="15"/>
      <c r="Q307" s="11"/>
      <c r="R307" s="11"/>
      <c r="S307" s="11"/>
      <c r="T307" s="11"/>
      <c r="U307" s="15"/>
      <c r="V307" s="11"/>
      <c r="W307" s="11"/>
      <c r="X307" s="11"/>
      <c r="Y307" s="11"/>
      <c r="Z307" s="11"/>
    </row>
    <row r="308">
      <c r="A308" s="18"/>
      <c r="B308" s="11"/>
      <c r="C308" s="11"/>
      <c r="D308" s="11"/>
      <c r="E308" s="11"/>
      <c r="F308" s="11"/>
      <c r="G308" s="11"/>
      <c r="H308" s="11"/>
      <c r="I308" s="11"/>
      <c r="J308" s="11"/>
      <c r="K308" s="11"/>
      <c r="L308" s="15"/>
      <c r="M308" s="15"/>
      <c r="N308" s="15"/>
      <c r="O308" s="15"/>
      <c r="P308" s="15"/>
      <c r="Q308" s="11"/>
      <c r="R308" s="11"/>
      <c r="S308" s="11"/>
      <c r="T308" s="11"/>
      <c r="U308" s="15"/>
      <c r="V308" s="11"/>
      <c r="W308" s="11"/>
      <c r="X308" s="11"/>
      <c r="Y308" s="11"/>
      <c r="Z308" s="11"/>
    </row>
    <row r="309">
      <c r="A309" s="18"/>
      <c r="B309" s="11"/>
      <c r="C309" s="11"/>
      <c r="D309" s="11"/>
      <c r="E309" s="11"/>
      <c r="F309" s="11"/>
      <c r="G309" s="11"/>
      <c r="H309" s="11"/>
      <c r="I309" s="11"/>
      <c r="J309" s="11"/>
      <c r="K309" s="11"/>
      <c r="L309" s="15"/>
      <c r="M309" s="15"/>
      <c r="N309" s="15"/>
      <c r="O309" s="15"/>
      <c r="P309" s="15"/>
      <c r="Q309" s="11"/>
      <c r="R309" s="11"/>
      <c r="S309" s="11"/>
      <c r="T309" s="11"/>
      <c r="U309" s="15"/>
      <c r="V309" s="11"/>
      <c r="W309" s="11"/>
      <c r="X309" s="11"/>
      <c r="Y309" s="11"/>
      <c r="Z309" s="11"/>
    </row>
    <row r="310">
      <c r="A310" s="18"/>
      <c r="B310" s="11"/>
      <c r="C310" s="11"/>
      <c r="D310" s="11"/>
      <c r="E310" s="11"/>
      <c r="F310" s="11"/>
      <c r="G310" s="11"/>
      <c r="H310" s="11"/>
      <c r="I310" s="11"/>
      <c r="J310" s="11"/>
      <c r="K310" s="11"/>
      <c r="L310" s="15"/>
      <c r="M310" s="15"/>
      <c r="N310" s="15"/>
      <c r="O310" s="15"/>
      <c r="P310" s="15"/>
      <c r="Q310" s="11"/>
      <c r="R310" s="11"/>
      <c r="S310" s="11"/>
      <c r="T310" s="11"/>
      <c r="U310" s="15"/>
      <c r="V310" s="11"/>
      <c r="W310" s="11"/>
      <c r="X310" s="11"/>
      <c r="Y310" s="11"/>
      <c r="Z310" s="11"/>
    </row>
    <row r="311">
      <c r="A311" s="18"/>
      <c r="B311" s="11"/>
      <c r="C311" s="11"/>
      <c r="D311" s="11"/>
      <c r="E311" s="11"/>
      <c r="F311" s="11"/>
      <c r="G311" s="11"/>
      <c r="H311" s="11"/>
      <c r="I311" s="11"/>
      <c r="J311" s="11"/>
      <c r="K311" s="11"/>
      <c r="L311" s="15"/>
      <c r="M311" s="15"/>
      <c r="N311" s="15"/>
      <c r="O311" s="15"/>
      <c r="P311" s="15"/>
      <c r="Q311" s="11"/>
      <c r="R311" s="11"/>
      <c r="S311" s="11"/>
      <c r="T311" s="11"/>
      <c r="U311" s="15"/>
      <c r="V311" s="11"/>
      <c r="W311" s="11"/>
      <c r="X311" s="11"/>
      <c r="Y311" s="11"/>
      <c r="Z311" s="11"/>
    </row>
    <row r="312">
      <c r="A312" s="18"/>
      <c r="B312" s="11"/>
      <c r="C312" s="11"/>
      <c r="D312" s="11"/>
      <c r="E312" s="11"/>
      <c r="F312" s="11"/>
      <c r="G312" s="11"/>
      <c r="H312" s="11"/>
      <c r="I312" s="11"/>
      <c r="J312" s="11"/>
      <c r="K312" s="11"/>
      <c r="L312" s="15"/>
      <c r="M312" s="15"/>
      <c r="N312" s="15"/>
      <c r="O312" s="15"/>
      <c r="P312" s="15"/>
      <c r="Q312" s="11"/>
      <c r="R312" s="11"/>
      <c r="S312" s="11"/>
      <c r="T312" s="11"/>
      <c r="U312" s="15"/>
      <c r="V312" s="11"/>
      <c r="W312" s="11"/>
      <c r="X312" s="11"/>
      <c r="Y312" s="11"/>
      <c r="Z312" s="11"/>
    </row>
    <row r="313">
      <c r="A313" s="18"/>
      <c r="B313" s="11"/>
      <c r="C313" s="11"/>
      <c r="D313" s="11"/>
      <c r="E313" s="11"/>
      <c r="F313" s="11"/>
      <c r="G313" s="11"/>
      <c r="H313" s="11"/>
      <c r="I313" s="11"/>
      <c r="J313" s="11"/>
      <c r="K313" s="11"/>
      <c r="L313" s="15"/>
      <c r="M313" s="15"/>
      <c r="N313" s="15"/>
      <c r="O313" s="15"/>
      <c r="P313" s="15"/>
      <c r="Q313" s="11"/>
      <c r="R313" s="11"/>
      <c r="S313" s="11"/>
      <c r="T313" s="11"/>
      <c r="U313" s="15"/>
      <c r="V313" s="11"/>
      <c r="W313" s="11"/>
      <c r="X313" s="11"/>
      <c r="Y313" s="11"/>
      <c r="Z313" s="11"/>
    </row>
    <row r="314">
      <c r="A314" s="18"/>
      <c r="B314" s="11"/>
      <c r="C314" s="11"/>
      <c r="D314" s="11"/>
      <c r="E314" s="11"/>
      <c r="F314" s="11"/>
      <c r="G314" s="11"/>
      <c r="H314" s="11"/>
      <c r="I314" s="11"/>
      <c r="J314" s="11"/>
      <c r="K314" s="11"/>
      <c r="L314" s="15"/>
      <c r="M314" s="15"/>
      <c r="N314" s="15"/>
      <c r="O314" s="15"/>
      <c r="P314" s="15"/>
      <c r="Q314" s="11"/>
      <c r="R314" s="11"/>
      <c r="S314" s="11"/>
      <c r="T314" s="11"/>
      <c r="U314" s="15"/>
      <c r="V314" s="11"/>
      <c r="W314" s="11"/>
      <c r="X314" s="11"/>
      <c r="Y314" s="11"/>
      <c r="Z314" s="11"/>
    </row>
    <row r="315">
      <c r="A315" s="18"/>
      <c r="B315" s="11"/>
      <c r="C315" s="11"/>
      <c r="D315" s="11"/>
      <c r="E315" s="11"/>
      <c r="F315" s="11"/>
      <c r="G315" s="11"/>
      <c r="H315" s="11"/>
      <c r="I315" s="11"/>
      <c r="J315" s="11"/>
      <c r="K315" s="11"/>
      <c r="L315" s="15"/>
      <c r="M315" s="15"/>
      <c r="N315" s="15"/>
      <c r="O315" s="15"/>
      <c r="P315" s="15"/>
      <c r="Q315" s="11"/>
      <c r="R315" s="11"/>
      <c r="S315" s="11"/>
      <c r="T315" s="11"/>
      <c r="U315" s="15"/>
      <c r="V315" s="11"/>
      <c r="W315" s="11"/>
      <c r="X315" s="11"/>
      <c r="Y315" s="11"/>
      <c r="Z315" s="11"/>
    </row>
    <row r="316">
      <c r="A316" s="18"/>
      <c r="B316" s="11"/>
      <c r="C316" s="11"/>
      <c r="D316" s="11"/>
      <c r="E316" s="11"/>
      <c r="F316" s="11"/>
      <c r="G316" s="11"/>
      <c r="H316" s="11"/>
      <c r="I316" s="11"/>
      <c r="J316" s="11"/>
      <c r="K316" s="11"/>
      <c r="L316" s="15"/>
      <c r="M316" s="15"/>
      <c r="N316" s="15"/>
      <c r="O316" s="15"/>
      <c r="P316" s="15"/>
      <c r="Q316" s="11"/>
      <c r="R316" s="11"/>
      <c r="S316" s="11"/>
      <c r="T316" s="11"/>
      <c r="U316" s="15"/>
      <c r="V316" s="11"/>
      <c r="W316" s="11"/>
      <c r="X316" s="11"/>
      <c r="Y316" s="11"/>
      <c r="Z316" s="11"/>
    </row>
    <row r="317">
      <c r="A317" s="18"/>
      <c r="B317" s="11"/>
      <c r="C317" s="11"/>
      <c r="D317" s="11"/>
      <c r="E317" s="11"/>
      <c r="F317" s="11"/>
      <c r="G317" s="11"/>
      <c r="H317" s="11"/>
      <c r="I317" s="11"/>
      <c r="J317" s="11"/>
      <c r="K317" s="11"/>
      <c r="L317" s="15"/>
      <c r="M317" s="15"/>
      <c r="N317" s="15"/>
      <c r="O317" s="15"/>
      <c r="P317" s="15"/>
      <c r="Q317" s="11"/>
      <c r="R317" s="11"/>
      <c r="S317" s="11"/>
      <c r="T317" s="11"/>
      <c r="U317" s="15"/>
      <c r="V317" s="11"/>
      <c r="W317" s="11"/>
      <c r="X317" s="11"/>
      <c r="Y317" s="11"/>
      <c r="Z317" s="11"/>
    </row>
    <row r="318">
      <c r="A318" s="18"/>
      <c r="B318" s="11"/>
      <c r="C318" s="11"/>
      <c r="D318" s="11"/>
      <c r="E318" s="11"/>
      <c r="F318" s="11"/>
      <c r="G318" s="11"/>
      <c r="H318" s="11"/>
      <c r="I318" s="11"/>
      <c r="J318" s="11"/>
      <c r="K318" s="11"/>
      <c r="L318" s="15"/>
      <c r="M318" s="15"/>
      <c r="N318" s="15"/>
      <c r="O318" s="15"/>
      <c r="P318" s="15"/>
      <c r="Q318" s="11"/>
      <c r="R318" s="11"/>
      <c r="S318" s="11"/>
      <c r="T318" s="11"/>
      <c r="U318" s="15"/>
      <c r="V318" s="11"/>
      <c r="W318" s="11"/>
      <c r="X318" s="11"/>
      <c r="Y318" s="11"/>
      <c r="Z318" s="11"/>
    </row>
    <row r="319">
      <c r="A319" s="18"/>
      <c r="B319" s="11"/>
      <c r="C319" s="11"/>
      <c r="D319" s="11"/>
      <c r="E319" s="11"/>
      <c r="F319" s="11"/>
      <c r="G319" s="11"/>
      <c r="H319" s="11"/>
      <c r="I319" s="11"/>
      <c r="J319" s="11"/>
      <c r="K319" s="11"/>
      <c r="L319" s="15"/>
      <c r="M319" s="15"/>
      <c r="N319" s="15"/>
      <c r="O319" s="15"/>
      <c r="P319" s="15"/>
      <c r="Q319" s="11"/>
      <c r="R319" s="11"/>
      <c r="S319" s="11"/>
      <c r="T319" s="11"/>
      <c r="U319" s="15"/>
      <c r="V319" s="11"/>
      <c r="W319" s="11"/>
      <c r="X319" s="11"/>
      <c r="Y319" s="11"/>
      <c r="Z319" s="11"/>
    </row>
    <row r="320">
      <c r="A320" s="18"/>
      <c r="B320" s="11"/>
      <c r="C320" s="11"/>
      <c r="D320" s="11"/>
      <c r="E320" s="11"/>
      <c r="F320" s="11"/>
      <c r="G320" s="11"/>
      <c r="H320" s="11"/>
      <c r="I320" s="11"/>
      <c r="J320" s="11"/>
      <c r="K320" s="11"/>
      <c r="L320" s="15"/>
      <c r="M320" s="15"/>
      <c r="N320" s="15"/>
      <c r="O320" s="15"/>
      <c r="P320" s="15"/>
      <c r="Q320" s="11"/>
      <c r="R320" s="11"/>
      <c r="S320" s="11"/>
      <c r="T320" s="11"/>
      <c r="U320" s="15"/>
      <c r="V320" s="11"/>
      <c r="W320" s="11"/>
      <c r="X320" s="11"/>
      <c r="Y320" s="11"/>
      <c r="Z320" s="11"/>
    </row>
    <row r="321">
      <c r="A321" s="18"/>
      <c r="B321" s="11"/>
      <c r="C321" s="11"/>
      <c r="D321" s="11"/>
      <c r="E321" s="11"/>
      <c r="F321" s="11"/>
      <c r="G321" s="11"/>
      <c r="H321" s="11"/>
      <c r="I321" s="11"/>
      <c r="J321" s="11"/>
      <c r="K321" s="11"/>
      <c r="L321" s="15"/>
      <c r="M321" s="15"/>
      <c r="N321" s="15"/>
      <c r="O321" s="15"/>
      <c r="P321" s="15"/>
      <c r="Q321" s="11"/>
      <c r="R321" s="11"/>
      <c r="S321" s="11"/>
      <c r="T321" s="11"/>
      <c r="U321" s="15"/>
      <c r="V321" s="11"/>
      <c r="W321" s="11"/>
      <c r="X321" s="11"/>
      <c r="Y321" s="11"/>
      <c r="Z321" s="11"/>
    </row>
    <row r="322">
      <c r="A322" s="18"/>
      <c r="B322" s="11"/>
      <c r="C322" s="11"/>
      <c r="D322" s="11"/>
      <c r="E322" s="11"/>
      <c r="F322" s="11"/>
      <c r="G322" s="11"/>
      <c r="H322" s="11"/>
      <c r="I322" s="11"/>
      <c r="J322" s="11"/>
      <c r="K322" s="11"/>
      <c r="L322" s="15"/>
      <c r="M322" s="15"/>
      <c r="N322" s="15"/>
      <c r="O322" s="15"/>
      <c r="P322" s="15"/>
      <c r="Q322" s="11"/>
      <c r="R322" s="11"/>
      <c r="S322" s="11"/>
      <c r="T322" s="11"/>
      <c r="U322" s="15"/>
      <c r="V322" s="11"/>
      <c r="W322" s="11"/>
      <c r="X322" s="11"/>
      <c r="Y322" s="11"/>
      <c r="Z322" s="11"/>
    </row>
    <row r="323">
      <c r="A323" s="18"/>
      <c r="B323" s="11"/>
      <c r="C323" s="11"/>
      <c r="D323" s="11"/>
      <c r="E323" s="11"/>
      <c r="F323" s="11"/>
      <c r="G323" s="11"/>
      <c r="H323" s="11"/>
      <c r="I323" s="11"/>
      <c r="J323" s="11"/>
      <c r="K323" s="11"/>
      <c r="L323" s="15"/>
      <c r="M323" s="15"/>
      <c r="N323" s="15"/>
      <c r="O323" s="15"/>
      <c r="P323" s="15"/>
      <c r="Q323" s="11"/>
      <c r="R323" s="11"/>
      <c r="S323" s="11"/>
      <c r="T323" s="11"/>
      <c r="U323" s="15"/>
      <c r="V323" s="11"/>
      <c r="W323" s="11"/>
      <c r="X323" s="11"/>
      <c r="Y323" s="11"/>
      <c r="Z323" s="11"/>
    </row>
    <row r="324">
      <c r="A324" s="18"/>
      <c r="B324" s="11"/>
      <c r="C324" s="11"/>
      <c r="D324" s="11"/>
      <c r="E324" s="11"/>
      <c r="F324" s="11"/>
      <c r="G324" s="11"/>
      <c r="H324" s="11"/>
      <c r="I324" s="11"/>
      <c r="J324" s="11"/>
      <c r="K324" s="11"/>
      <c r="L324" s="15"/>
      <c r="M324" s="15"/>
      <c r="N324" s="15"/>
      <c r="O324" s="15"/>
      <c r="P324" s="15"/>
      <c r="Q324" s="11"/>
      <c r="R324" s="11"/>
      <c r="S324" s="11"/>
      <c r="T324" s="11"/>
      <c r="U324" s="15"/>
      <c r="V324" s="11"/>
      <c r="W324" s="11"/>
      <c r="X324" s="11"/>
      <c r="Y324" s="11"/>
      <c r="Z324" s="11"/>
    </row>
    <row r="325">
      <c r="A325" s="18"/>
      <c r="B325" s="11"/>
      <c r="C325" s="11"/>
      <c r="D325" s="11"/>
      <c r="E325" s="11"/>
      <c r="F325" s="11"/>
      <c r="G325" s="11"/>
      <c r="H325" s="11"/>
      <c r="I325" s="11"/>
      <c r="J325" s="11"/>
      <c r="K325" s="11"/>
      <c r="L325" s="15"/>
      <c r="M325" s="15"/>
      <c r="N325" s="15"/>
      <c r="O325" s="15"/>
      <c r="P325" s="15"/>
      <c r="Q325" s="11"/>
      <c r="R325" s="11"/>
      <c r="S325" s="11"/>
      <c r="T325" s="11"/>
      <c r="U325" s="15"/>
      <c r="V325" s="11"/>
      <c r="W325" s="11"/>
      <c r="X325" s="11"/>
      <c r="Y325" s="11"/>
      <c r="Z325" s="11"/>
    </row>
    <row r="326">
      <c r="A326" s="18"/>
      <c r="B326" s="11"/>
      <c r="C326" s="11"/>
      <c r="D326" s="11"/>
      <c r="E326" s="11"/>
      <c r="F326" s="11"/>
      <c r="G326" s="11"/>
      <c r="H326" s="11"/>
      <c r="I326" s="11"/>
      <c r="J326" s="11"/>
      <c r="K326" s="11"/>
      <c r="L326" s="15"/>
      <c r="M326" s="15"/>
      <c r="N326" s="15"/>
      <c r="O326" s="15"/>
      <c r="P326" s="15"/>
      <c r="Q326" s="11"/>
      <c r="R326" s="11"/>
      <c r="S326" s="11"/>
      <c r="T326" s="11"/>
      <c r="U326" s="15"/>
      <c r="V326" s="11"/>
      <c r="W326" s="11"/>
      <c r="X326" s="11"/>
      <c r="Y326" s="11"/>
      <c r="Z326" s="11"/>
    </row>
    <row r="327">
      <c r="A327" s="18"/>
      <c r="B327" s="11"/>
      <c r="C327" s="11"/>
      <c r="D327" s="11"/>
      <c r="E327" s="11"/>
      <c r="F327" s="11"/>
      <c r="G327" s="11"/>
      <c r="H327" s="11"/>
      <c r="I327" s="11"/>
      <c r="J327" s="11"/>
      <c r="K327" s="11"/>
      <c r="L327" s="15"/>
      <c r="M327" s="15"/>
      <c r="N327" s="15"/>
      <c r="O327" s="15"/>
      <c r="P327" s="15"/>
      <c r="Q327" s="11"/>
      <c r="R327" s="11"/>
      <c r="S327" s="11"/>
      <c r="T327" s="11"/>
      <c r="U327" s="15"/>
      <c r="V327" s="11"/>
      <c r="W327" s="11"/>
      <c r="X327" s="11"/>
      <c r="Y327" s="11"/>
      <c r="Z327" s="11"/>
    </row>
    <row r="328">
      <c r="A328" s="18"/>
      <c r="B328" s="11"/>
      <c r="C328" s="11"/>
      <c r="D328" s="11"/>
      <c r="E328" s="11"/>
      <c r="F328" s="11"/>
      <c r="G328" s="11"/>
      <c r="H328" s="11"/>
      <c r="I328" s="11"/>
      <c r="J328" s="11"/>
      <c r="K328" s="11"/>
      <c r="L328" s="15"/>
      <c r="M328" s="15"/>
      <c r="N328" s="15"/>
      <c r="O328" s="15"/>
      <c r="P328" s="15"/>
      <c r="Q328" s="11"/>
      <c r="R328" s="11"/>
      <c r="S328" s="11"/>
      <c r="T328" s="11"/>
      <c r="U328" s="15"/>
      <c r="V328" s="11"/>
      <c r="W328" s="11"/>
      <c r="X328" s="11"/>
      <c r="Y328" s="11"/>
      <c r="Z328" s="11"/>
    </row>
    <row r="329">
      <c r="A329" s="18"/>
      <c r="B329" s="11"/>
      <c r="C329" s="11"/>
      <c r="D329" s="11"/>
      <c r="E329" s="11"/>
      <c r="F329" s="11"/>
      <c r="G329" s="11"/>
      <c r="H329" s="11"/>
      <c r="I329" s="11"/>
      <c r="J329" s="11"/>
      <c r="K329" s="11"/>
      <c r="L329" s="15"/>
      <c r="M329" s="15"/>
      <c r="N329" s="15"/>
      <c r="O329" s="15"/>
      <c r="P329" s="15"/>
      <c r="Q329" s="11"/>
      <c r="R329" s="11"/>
      <c r="S329" s="11"/>
      <c r="T329" s="11"/>
      <c r="U329" s="15"/>
      <c r="V329" s="11"/>
      <c r="W329" s="11"/>
      <c r="X329" s="11"/>
      <c r="Y329" s="11"/>
      <c r="Z329" s="11"/>
    </row>
    <row r="330">
      <c r="A330" s="18"/>
      <c r="B330" s="11"/>
      <c r="C330" s="11"/>
      <c r="D330" s="11"/>
      <c r="E330" s="11"/>
      <c r="F330" s="11"/>
      <c r="G330" s="11"/>
      <c r="H330" s="11"/>
      <c r="I330" s="11"/>
      <c r="J330" s="11"/>
      <c r="K330" s="11"/>
      <c r="L330" s="15"/>
      <c r="M330" s="15"/>
      <c r="N330" s="15"/>
      <c r="O330" s="15"/>
      <c r="P330" s="15"/>
      <c r="Q330" s="11"/>
      <c r="R330" s="11"/>
      <c r="S330" s="11"/>
      <c r="T330" s="11"/>
      <c r="U330" s="15"/>
      <c r="V330" s="11"/>
      <c r="W330" s="11"/>
      <c r="X330" s="11"/>
      <c r="Y330" s="11"/>
      <c r="Z330" s="11"/>
    </row>
    <row r="331">
      <c r="A331" s="18"/>
      <c r="B331" s="11"/>
      <c r="C331" s="11"/>
      <c r="D331" s="11"/>
      <c r="E331" s="11"/>
      <c r="F331" s="11"/>
      <c r="G331" s="11"/>
      <c r="H331" s="11"/>
      <c r="I331" s="11"/>
      <c r="J331" s="11"/>
      <c r="K331" s="11"/>
      <c r="L331" s="15"/>
      <c r="M331" s="15"/>
      <c r="N331" s="15"/>
      <c r="O331" s="15"/>
      <c r="P331" s="15"/>
      <c r="Q331" s="11"/>
      <c r="R331" s="11"/>
      <c r="S331" s="11"/>
      <c r="T331" s="11"/>
      <c r="U331" s="15"/>
      <c r="V331" s="11"/>
      <c r="W331" s="11"/>
      <c r="X331" s="11"/>
      <c r="Y331" s="11"/>
      <c r="Z331" s="11"/>
    </row>
    <row r="332">
      <c r="A332" s="18"/>
      <c r="B332" s="11"/>
      <c r="C332" s="11"/>
      <c r="D332" s="11"/>
      <c r="E332" s="11"/>
      <c r="F332" s="11"/>
      <c r="G332" s="11"/>
      <c r="H332" s="11"/>
      <c r="I332" s="11"/>
      <c r="J332" s="11"/>
      <c r="K332" s="11"/>
      <c r="L332" s="15"/>
      <c r="M332" s="15"/>
      <c r="N332" s="15"/>
      <c r="O332" s="15"/>
      <c r="P332" s="15"/>
      <c r="Q332" s="11"/>
      <c r="R332" s="11"/>
      <c r="S332" s="11"/>
      <c r="T332" s="11"/>
      <c r="U332" s="15"/>
      <c r="V332" s="11"/>
      <c r="W332" s="11"/>
      <c r="X332" s="11"/>
      <c r="Y332" s="11"/>
      <c r="Z332" s="11"/>
    </row>
    <row r="333">
      <c r="A333" s="18"/>
      <c r="B333" s="11"/>
      <c r="C333" s="11"/>
      <c r="D333" s="11"/>
      <c r="E333" s="11"/>
      <c r="F333" s="11"/>
      <c r="G333" s="11"/>
      <c r="H333" s="11"/>
      <c r="I333" s="11"/>
      <c r="J333" s="11"/>
      <c r="K333" s="11"/>
      <c r="L333" s="15"/>
      <c r="M333" s="15"/>
      <c r="N333" s="15"/>
      <c r="O333" s="15"/>
      <c r="P333" s="15"/>
      <c r="Q333" s="11"/>
      <c r="R333" s="11"/>
      <c r="S333" s="11"/>
      <c r="T333" s="11"/>
      <c r="U333" s="15"/>
      <c r="V333" s="11"/>
      <c r="W333" s="11"/>
      <c r="X333" s="11"/>
      <c r="Y333" s="11"/>
      <c r="Z333" s="11"/>
    </row>
    <row r="334">
      <c r="A334" s="18"/>
      <c r="B334" s="11"/>
      <c r="C334" s="11"/>
      <c r="D334" s="11"/>
      <c r="E334" s="11"/>
      <c r="F334" s="11"/>
      <c r="G334" s="11"/>
      <c r="H334" s="11"/>
      <c r="I334" s="11"/>
      <c r="J334" s="11"/>
      <c r="K334" s="11"/>
      <c r="L334" s="15"/>
      <c r="M334" s="15"/>
      <c r="N334" s="15"/>
      <c r="O334" s="15"/>
      <c r="P334" s="15"/>
      <c r="Q334" s="11"/>
      <c r="R334" s="11"/>
      <c r="S334" s="11"/>
      <c r="T334" s="11"/>
      <c r="U334" s="15"/>
      <c r="V334" s="11"/>
      <c r="W334" s="11"/>
      <c r="X334" s="11"/>
      <c r="Y334" s="11"/>
      <c r="Z334" s="11"/>
    </row>
    <row r="335">
      <c r="A335" s="18"/>
      <c r="B335" s="11"/>
      <c r="C335" s="11"/>
      <c r="D335" s="11"/>
      <c r="E335" s="11"/>
      <c r="F335" s="11"/>
      <c r="G335" s="11"/>
      <c r="H335" s="11"/>
      <c r="I335" s="11"/>
      <c r="J335" s="11"/>
      <c r="K335" s="11"/>
      <c r="L335" s="15"/>
      <c r="M335" s="15"/>
      <c r="N335" s="15"/>
      <c r="O335" s="15"/>
      <c r="P335" s="15"/>
      <c r="Q335" s="11"/>
      <c r="R335" s="11"/>
      <c r="S335" s="11"/>
      <c r="T335" s="11"/>
      <c r="U335" s="15"/>
      <c r="V335" s="11"/>
      <c r="W335" s="11"/>
      <c r="X335" s="11"/>
      <c r="Y335" s="11"/>
      <c r="Z335" s="11"/>
    </row>
    <row r="336">
      <c r="A336" s="18"/>
      <c r="B336" s="11"/>
      <c r="C336" s="11"/>
      <c r="D336" s="11"/>
      <c r="E336" s="11"/>
      <c r="F336" s="11"/>
      <c r="G336" s="11"/>
      <c r="H336" s="11"/>
      <c r="I336" s="11"/>
      <c r="J336" s="11"/>
      <c r="K336" s="11"/>
      <c r="L336" s="15"/>
      <c r="M336" s="15"/>
      <c r="N336" s="15"/>
      <c r="O336" s="15"/>
      <c r="P336" s="15"/>
      <c r="Q336" s="11"/>
      <c r="R336" s="11"/>
      <c r="S336" s="11"/>
      <c r="T336" s="11"/>
      <c r="U336" s="15"/>
      <c r="V336" s="11"/>
      <c r="W336" s="11"/>
      <c r="X336" s="11"/>
      <c r="Y336" s="11"/>
      <c r="Z336" s="11"/>
    </row>
    <row r="337">
      <c r="A337" s="18"/>
      <c r="B337" s="11"/>
      <c r="C337" s="11"/>
      <c r="D337" s="11"/>
      <c r="E337" s="11"/>
      <c r="F337" s="11"/>
      <c r="G337" s="11"/>
      <c r="H337" s="11"/>
      <c r="I337" s="11"/>
      <c r="J337" s="11"/>
      <c r="K337" s="11"/>
      <c r="L337" s="15"/>
      <c r="M337" s="15"/>
      <c r="N337" s="15"/>
      <c r="O337" s="15"/>
      <c r="P337" s="15"/>
      <c r="Q337" s="11"/>
      <c r="R337" s="11"/>
      <c r="S337" s="11"/>
      <c r="T337" s="11"/>
      <c r="U337" s="15"/>
      <c r="V337" s="11"/>
      <c r="W337" s="11"/>
      <c r="X337" s="11"/>
      <c r="Y337" s="11"/>
      <c r="Z337" s="11"/>
    </row>
    <row r="338">
      <c r="A338" s="18"/>
      <c r="B338" s="11"/>
      <c r="C338" s="11"/>
      <c r="D338" s="11"/>
      <c r="E338" s="11"/>
      <c r="F338" s="11"/>
      <c r="G338" s="11"/>
      <c r="H338" s="11"/>
      <c r="I338" s="11"/>
      <c r="J338" s="11"/>
      <c r="K338" s="11"/>
      <c r="L338" s="15"/>
      <c r="M338" s="15"/>
      <c r="N338" s="15"/>
      <c r="O338" s="15"/>
      <c r="P338" s="15"/>
      <c r="Q338" s="11"/>
      <c r="R338" s="11"/>
      <c r="S338" s="11"/>
      <c r="T338" s="11"/>
      <c r="U338" s="15"/>
      <c r="V338" s="11"/>
      <c r="W338" s="11"/>
      <c r="X338" s="11"/>
      <c r="Y338" s="11"/>
      <c r="Z338" s="11"/>
    </row>
    <row r="339">
      <c r="A339" s="18"/>
      <c r="B339" s="11"/>
      <c r="C339" s="11"/>
      <c r="D339" s="11"/>
      <c r="E339" s="11"/>
      <c r="F339" s="11"/>
      <c r="G339" s="11"/>
      <c r="H339" s="11"/>
      <c r="I339" s="11"/>
      <c r="J339" s="11"/>
      <c r="K339" s="11"/>
      <c r="L339" s="15"/>
      <c r="M339" s="15"/>
      <c r="N339" s="15"/>
      <c r="O339" s="15"/>
      <c r="P339" s="15"/>
      <c r="Q339" s="11"/>
      <c r="R339" s="11"/>
      <c r="S339" s="11"/>
      <c r="T339" s="11"/>
      <c r="U339" s="15"/>
      <c r="V339" s="11"/>
      <c r="W339" s="11"/>
      <c r="X339" s="11"/>
      <c r="Y339" s="11"/>
      <c r="Z339" s="11"/>
    </row>
    <row r="340">
      <c r="A340" s="18"/>
      <c r="B340" s="11"/>
      <c r="C340" s="11"/>
      <c r="D340" s="11"/>
      <c r="E340" s="11"/>
      <c r="F340" s="11"/>
      <c r="G340" s="11"/>
      <c r="H340" s="11"/>
      <c r="I340" s="11"/>
      <c r="J340" s="11"/>
      <c r="K340" s="11"/>
      <c r="L340" s="15"/>
      <c r="M340" s="15"/>
      <c r="N340" s="15"/>
      <c r="O340" s="15"/>
      <c r="P340" s="15"/>
      <c r="Q340" s="11"/>
      <c r="R340" s="11"/>
      <c r="S340" s="11"/>
      <c r="T340" s="11"/>
      <c r="U340" s="15"/>
      <c r="V340" s="11"/>
      <c r="W340" s="11"/>
      <c r="X340" s="11"/>
      <c r="Y340" s="11"/>
      <c r="Z340" s="11"/>
    </row>
    <row r="341">
      <c r="A341" s="18"/>
      <c r="B341" s="11"/>
      <c r="C341" s="11"/>
      <c r="D341" s="11"/>
      <c r="E341" s="11"/>
      <c r="F341" s="11"/>
      <c r="G341" s="11"/>
      <c r="H341" s="11"/>
      <c r="I341" s="11"/>
      <c r="J341" s="11"/>
      <c r="K341" s="11"/>
      <c r="L341" s="15"/>
      <c r="M341" s="15"/>
      <c r="N341" s="15"/>
      <c r="O341" s="15"/>
      <c r="P341" s="15"/>
      <c r="Q341" s="11"/>
      <c r="R341" s="11"/>
      <c r="S341" s="11"/>
      <c r="T341" s="11"/>
      <c r="U341" s="15"/>
      <c r="V341" s="11"/>
      <c r="W341" s="11"/>
      <c r="X341" s="11"/>
      <c r="Y341" s="11"/>
      <c r="Z341" s="11"/>
    </row>
    <row r="342">
      <c r="A342" s="18"/>
      <c r="B342" s="11"/>
      <c r="C342" s="11"/>
      <c r="D342" s="11"/>
      <c r="E342" s="11"/>
      <c r="F342" s="11"/>
      <c r="G342" s="11"/>
      <c r="H342" s="11"/>
      <c r="I342" s="11"/>
      <c r="J342" s="11"/>
      <c r="K342" s="11"/>
      <c r="L342" s="15"/>
      <c r="M342" s="15"/>
      <c r="N342" s="15"/>
      <c r="O342" s="15"/>
      <c r="P342" s="15"/>
      <c r="Q342" s="11"/>
      <c r="R342" s="11"/>
      <c r="S342" s="11"/>
      <c r="T342" s="11"/>
      <c r="U342" s="15"/>
      <c r="V342" s="11"/>
      <c r="W342" s="11"/>
      <c r="X342" s="11"/>
      <c r="Y342" s="11"/>
      <c r="Z342" s="11"/>
    </row>
    <row r="343">
      <c r="A343" s="18"/>
      <c r="B343" s="11"/>
      <c r="C343" s="11"/>
      <c r="D343" s="11"/>
      <c r="E343" s="11"/>
      <c r="F343" s="11"/>
      <c r="G343" s="11"/>
      <c r="H343" s="11"/>
      <c r="I343" s="11"/>
      <c r="J343" s="11"/>
      <c r="K343" s="11"/>
      <c r="L343" s="15"/>
      <c r="M343" s="15"/>
      <c r="N343" s="15"/>
      <c r="O343" s="15"/>
      <c r="P343" s="15"/>
      <c r="Q343" s="11"/>
      <c r="R343" s="11"/>
      <c r="S343" s="11"/>
      <c r="T343" s="11"/>
      <c r="U343" s="15"/>
      <c r="V343" s="11"/>
      <c r="W343" s="11"/>
      <c r="X343" s="11"/>
      <c r="Y343" s="11"/>
      <c r="Z343" s="11"/>
    </row>
    <row r="344">
      <c r="A344" s="18"/>
      <c r="B344" s="11"/>
      <c r="C344" s="11"/>
      <c r="D344" s="11"/>
      <c r="E344" s="11"/>
      <c r="F344" s="11"/>
      <c r="G344" s="11"/>
      <c r="H344" s="11"/>
      <c r="I344" s="11"/>
      <c r="J344" s="11"/>
      <c r="K344" s="11"/>
      <c r="L344" s="15"/>
      <c r="M344" s="15"/>
      <c r="N344" s="15"/>
      <c r="O344" s="15"/>
      <c r="P344" s="15"/>
      <c r="Q344" s="11"/>
      <c r="R344" s="11"/>
      <c r="S344" s="11"/>
      <c r="T344" s="11"/>
      <c r="U344" s="15"/>
      <c r="V344" s="11"/>
      <c r="W344" s="11"/>
      <c r="X344" s="11"/>
      <c r="Y344" s="11"/>
      <c r="Z344" s="11"/>
    </row>
    <row r="345">
      <c r="A345" s="18"/>
      <c r="B345" s="11"/>
      <c r="C345" s="11"/>
      <c r="D345" s="11"/>
      <c r="E345" s="11"/>
      <c r="F345" s="11"/>
      <c r="G345" s="11"/>
      <c r="H345" s="11"/>
      <c r="I345" s="11"/>
      <c r="J345" s="11"/>
      <c r="K345" s="11"/>
      <c r="L345" s="15"/>
      <c r="M345" s="15"/>
      <c r="N345" s="15"/>
      <c r="O345" s="15"/>
      <c r="P345" s="15"/>
      <c r="Q345" s="11"/>
      <c r="R345" s="11"/>
      <c r="S345" s="11"/>
      <c r="T345" s="11"/>
      <c r="U345" s="15"/>
      <c r="V345" s="11"/>
      <c r="W345" s="11"/>
      <c r="X345" s="11"/>
      <c r="Y345" s="11"/>
      <c r="Z345" s="11"/>
    </row>
    <row r="346">
      <c r="A346" s="18"/>
      <c r="B346" s="11"/>
      <c r="C346" s="11"/>
      <c r="D346" s="11"/>
      <c r="E346" s="11"/>
      <c r="F346" s="11"/>
      <c r="G346" s="11"/>
      <c r="H346" s="11"/>
      <c r="I346" s="11"/>
      <c r="J346" s="11"/>
      <c r="K346" s="11"/>
      <c r="L346" s="15"/>
      <c r="M346" s="15"/>
      <c r="N346" s="15"/>
      <c r="O346" s="15"/>
      <c r="P346" s="15"/>
      <c r="Q346" s="11"/>
      <c r="R346" s="11"/>
      <c r="S346" s="11"/>
      <c r="T346" s="11"/>
      <c r="U346" s="15"/>
      <c r="V346" s="11"/>
      <c r="W346" s="11"/>
      <c r="X346" s="11"/>
      <c r="Y346" s="11"/>
      <c r="Z346" s="11"/>
    </row>
    <row r="347">
      <c r="A347" s="18"/>
      <c r="B347" s="11"/>
      <c r="C347" s="11"/>
      <c r="D347" s="11"/>
      <c r="E347" s="11"/>
      <c r="F347" s="11"/>
      <c r="G347" s="11"/>
      <c r="H347" s="11"/>
      <c r="I347" s="11"/>
      <c r="J347" s="11"/>
      <c r="K347" s="11"/>
      <c r="L347" s="15"/>
      <c r="M347" s="15"/>
      <c r="N347" s="15"/>
      <c r="O347" s="15"/>
      <c r="P347" s="15"/>
      <c r="Q347" s="11"/>
      <c r="R347" s="11"/>
      <c r="S347" s="11"/>
      <c r="T347" s="11"/>
      <c r="U347" s="15"/>
      <c r="V347" s="11"/>
      <c r="W347" s="11"/>
      <c r="X347" s="11"/>
      <c r="Y347" s="11"/>
      <c r="Z347" s="11"/>
    </row>
    <row r="348">
      <c r="A348" s="18"/>
      <c r="B348" s="11"/>
      <c r="C348" s="11"/>
      <c r="D348" s="11"/>
      <c r="E348" s="11"/>
      <c r="F348" s="11"/>
      <c r="G348" s="11"/>
      <c r="H348" s="11"/>
      <c r="I348" s="11"/>
      <c r="J348" s="11"/>
      <c r="K348" s="11"/>
      <c r="L348" s="15"/>
      <c r="M348" s="15"/>
      <c r="N348" s="15"/>
      <c r="O348" s="15"/>
      <c r="P348" s="15"/>
      <c r="Q348" s="11"/>
      <c r="R348" s="11"/>
      <c r="S348" s="11"/>
      <c r="T348" s="11"/>
      <c r="U348" s="15"/>
      <c r="V348" s="11"/>
      <c r="W348" s="11"/>
      <c r="X348" s="11"/>
      <c r="Y348" s="11"/>
      <c r="Z348" s="11"/>
    </row>
    <row r="349">
      <c r="A349" s="18"/>
      <c r="B349" s="11"/>
      <c r="C349" s="11"/>
      <c r="D349" s="11"/>
      <c r="E349" s="11"/>
      <c r="F349" s="11"/>
      <c r="G349" s="11"/>
      <c r="H349" s="11"/>
      <c r="I349" s="11"/>
      <c r="J349" s="11"/>
      <c r="K349" s="11"/>
      <c r="L349" s="15"/>
      <c r="M349" s="15"/>
      <c r="N349" s="15"/>
      <c r="O349" s="15"/>
      <c r="P349" s="15"/>
      <c r="Q349" s="11"/>
      <c r="R349" s="11"/>
      <c r="S349" s="11"/>
      <c r="T349" s="11"/>
      <c r="U349" s="15"/>
      <c r="V349" s="11"/>
      <c r="W349" s="11"/>
      <c r="X349" s="11"/>
      <c r="Y349" s="11"/>
      <c r="Z349" s="11"/>
    </row>
    <row r="350">
      <c r="A350" s="18"/>
      <c r="B350" s="11"/>
      <c r="C350" s="11"/>
      <c r="D350" s="11"/>
      <c r="E350" s="11"/>
      <c r="F350" s="11"/>
      <c r="G350" s="11"/>
      <c r="H350" s="11"/>
      <c r="I350" s="11"/>
      <c r="J350" s="11"/>
      <c r="K350" s="11"/>
      <c r="L350" s="15"/>
      <c r="M350" s="15"/>
      <c r="N350" s="15"/>
      <c r="O350" s="15"/>
      <c r="P350" s="15"/>
      <c r="Q350" s="11"/>
      <c r="R350" s="11"/>
      <c r="S350" s="11"/>
      <c r="T350" s="11"/>
      <c r="U350" s="15"/>
      <c r="V350" s="11"/>
      <c r="W350" s="11"/>
      <c r="X350" s="11"/>
      <c r="Y350" s="11"/>
      <c r="Z350" s="11"/>
    </row>
    <row r="351">
      <c r="A351" s="18"/>
      <c r="B351" s="11"/>
      <c r="C351" s="11"/>
      <c r="D351" s="11"/>
      <c r="E351" s="11"/>
      <c r="F351" s="11"/>
      <c r="G351" s="11"/>
      <c r="H351" s="11"/>
      <c r="I351" s="11"/>
      <c r="J351" s="11"/>
      <c r="K351" s="11"/>
      <c r="L351" s="15"/>
      <c r="M351" s="15"/>
      <c r="N351" s="15"/>
      <c r="O351" s="15"/>
      <c r="P351" s="15"/>
      <c r="Q351" s="11"/>
      <c r="R351" s="11"/>
      <c r="S351" s="11"/>
      <c r="T351" s="11"/>
      <c r="U351" s="15"/>
      <c r="V351" s="11"/>
      <c r="W351" s="11"/>
      <c r="X351" s="11"/>
      <c r="Y351" s="11"/>
      <c r="Z351" s="11"/>
    </row>
    <row r="352">
      <c r="A352" s="18"/>
      <c r="B352" s="11"/>
      <c r="C352" s="11"/>
      <c r="D352" s="11"/>
      <c r="E352" s="11"/>
      <c r="F352" s="11"/>
      <c r="G352" s="11"/>
      <c r="H352" s="11"/>
      <c r="I352" s="11"/>
      <c r="J352" s="11"/>
      <c r="K352" s="11"/>
      <c r="L352" s="15"/>
      <c r="M352" s="15"/>
      <c r="N352" s="15"/>
      <c r="O352" s="15"/>
      <c r="P352" s="15"/>
      <c r="Q352" s="11"/>
      <c r="R352" s="11"/>
      <c r="S352" s="11"/>
      <c r="T352" s="11"/>
      <c r="U352" s="15"/>
      <c r="V352" s="11"/>
      <c r="W352" s="11"/>
      <c r="X352" s="11"/>
      <c r="Y352" s="11"/>
      <c r="Z352" s="11"/>
    </row>
    <row r="353">
      <c r="A353" s="18"/>
      <c r="B353" s="11"/>
      <c r="C353" s="11"/>
      <c r="D353" s="11"/>
      <c r="E353" s="11"/>
      <c r="F353" s="11"/>
      <c r="G353" s="11"/>
      <c r="H353" s="11"/>
      <c r="I353" s="11"/>
      <c r="J353" s="11"/>
      <c r="K353" s="11"/>
      <c r="L353" s="15"/>
      <c r="M353" s="15"/>
      <c r="N353" s="15"/>
      <c r="O353" s="15"/>
      <c r="P353" s="15"/>
      <c r="Q353" s="11"/>
      <c r="R353" s="11"/>
      <c r="S353" s="11"/>
      <c r="T353" s="11"/>
      <c r="U353" s="15"/>
      <c r="V353" s="11"/>
      <c r="W353" s="11"/>
      <c r="X353" s="11"/>
      <c r="Y353" s="11"/>
      <c r="Z353" s="11"/>
    </row>
    <row r="354">
      <c r="A354" s="18"/>
      <c r="B354" s="11"/>
      <c r="C354" s="11"/>
      <c r="D354" s="11"/>
      <c r="E354" s="11"/>
      <c r="F354" s="11"/>
      <c r="G354" s="11"/>
      <c r="H354" s="11"/>
      <c r="I354" s="11"/>
      <c r="J354" s="11"/>
      <c r="K354" s="11"/>
      <c r="L354" s="15"/>
      <c r="M354" s="15"/>
      <c r="N354" s="15"/>
      <c r="O354" s="15"/>
      <c r="P354" s="15"/>
      <c r="Q354" s="11"/>
      <c r="R354" s="11"/>
      <c r="S354" s="11"/>
      <c r="T354" s="11"/>
      <c r="U354" s="15"/>
      <c r="V354" s="11"/>
      <c r="W354" s="11"/>
      <c r="X354" s="11"/>
      <c r="Y354" s="11"/>
      <c r="Z354" s="11"/>
    </row>
    <row r="355">
      <c r="A355" s="18"/>
      <c r="B355" s="11"/>
      <c r="C355" s="11"/>
      <c r="D355" s="11"/>
      <c r="E355" s="11"/>
      <c r="F355" s="11"/>
      <c r="G355" s="11"/>
      <c r="H355" s="11"/>
      <c r="I355" s="11"/>
      <c r="J355" s="11"/>
      <c r="K355" s="11"/>
      <c r="L355" s="15"/>
      <c r="M355" s="15"/>
      <c r="N355" s="15"/>
      <c r="O355" s="15"/>
      <c r="P355" s="15"/>
      <c r="Q355" s="11"/>
      <c r="R355" s="11"/>
      <c r="S355" s="11"/>
      <c r="T355" s="11"/>
      <c r="U355" s="15"/>
      <c r="V355" s="11"/>
      <c r="W355" s="11"/>
      <c r="X355" s="11"/>
      <c r="Y355" s="11"/>
      <c r="Z355" s="11"/>
    </row>
    <row r="356">
      <c r="A356" s="18"/>
      <c r="B356" s="11"/>
      <c r="C356" s="11"/>
      <c r="D356" s="11"/>
      <c r="E356" s="11"/>
      <c r="F356" s="11"/>
      <c r="G356" s="11"/>
      <c r="H356" s="11"/>
      <c r="I356" s="11"/>
      <c r="J356" s="11"/>
      <c r="K356" s="11"/>
      <c r="L356" s="15"/>
      <c r="M356" s="15"/>
      <c r="N356" s="15"/>
      <c r="O356" s="15"/>
      <c r="P356" s="15"/>
      <c r="Q356" s="11"/>
      <c r="R356" s="11"/>
      <c r="S356" s="11"/>
      <c r="T356" s="11"/>
      <c r="U356" s="15"/>
      <c r="V356" s="11"/>
      <c r="W356" s="11"/>
      <c r="X356" s="11"/>
      <c r="Y356" s="11"/>
      <c r="Z356" s="11"/>
    </row>
    <row r="357">
      <c r="A357" s="18"/>
      <c r="B357" s="11"/>
      <c r="C357" s="11"/>
      <c r="D357" s="11"/>
      <c r="E357" s="11"/>
      <c r="F357" s="11"/>
      <c r="G357" s="11"/>
      <c r="H357" s="11"/>
      <c r="I357" s="11"/>
      <c r="J357" s="11"/>
      <c r="K357" s="11"/>
      <c r="L357" s="15"/>
      <c r="M357" s="15"/>
      <c r="N357" s="15"/>
      <c r="O357" s="15"/>
      <c r="P357" s="15"/>
      <c r="Q357" s="11"/>
      <c r="R357" s="11"/>
      <c r="S357" s="11"/>
      <c r="T357" s="11"/>
      <c r="U357" s="15"/>
      <c r="V357" s="11"/>
      <c r="W357" s="11"/>
      <c r="X357" s="11"/>
      <c r="Y357" s="11"/>
      <c r="Z357" s="11"/>
    </row>
    <row r="358">
      <c r="A358" s="18"/>
      <c r="B358" s="11"/>
      <c r="C358" s="11"/>
      <c r="D358" s="11"/>
      <c r="E358" s="11"/>
      <c r="F358" s="11"/>
      <c r="G358" s="11"/>
      <c r="H358" s="11"/>
      <c r="I358" s="11"/>
      <c r="J358" s="11"/>
      <c r="K358" s="11"/>
      <c r="L358" s="15"/>
      <c r="M358" s="15"/>
      <c r="N358" s="15"/>
      <c r="O358" s="15"/>
      <c r="P358" s="15"/>
      <c r="Q358" s="11"/>
      <c r="R358" s="11"/>
      <c r="S358" s="11"/>
      <c r="T358" s="11"/>
      <c r="U358" s="15"/>
      <c r="V358" s="11"/>
      <c r="W358" s="11"/>
      <c r="X358" s="11"/>
      <c r="Y358" s="11"/>
      <c r="Z358" s="11"/>
    </row>
    <row r="359">
      <c r="A359" s="18"/>
      <c r="B359" s="11"/>
      <c r="C359" s="11"/>
      <c r="D359" s="11"/>
      <c r="E359" s="11"/>
      <c r="F359" s="11"/>
      <c r="G359" s="11"/>
      <c r="H359" s="11"/>
      <c r="I359" s="11"/>
      <c r="J359" s="11"/>
      <c r="K359" s="11"/>
      <c r="L359" s="15"/>
      <c r="M359" s="15"/>
      <c r="N359" s="15"/>
      <c r="O359" s="15"/>
      <c r="P359" s="15"/>
      <c r="Q359" s="11"/>
      <c r="R359" s="11"/>
      <c r="S359" s="11"/>
      <c r="T359" s="11"/>
      <c r="U359" s="15"/>
      <c r="V359" s="11"/>
      <c r="W359" s="11"/>
      <c r="X359" s="11"/>
      <c r="Y359" s="11"/>
      <c r="Z359" s="11"/>
    </row>
    <row r="360">
      <c r="A360" s="18"/>
      <c r="B360" s="11"/>
      <c r="C360" s="11"/>
      <c r="D360" s="11"/>
      <c r="E360" s="11"/>
      <c r="F360" s="11"/>
      <c r="G360" s="11"/>
      <c r="H360" s="11"/>
      <c r="I360" s="11"/>
      <c r="J360" s="11"/>
      <c r="K360" s="11"/>
      <c r="L360" s="15"/>
      <c r="M360" s="15"/>
      <c r="N360" s="15"/>
      <c r="O360" s="15"/>
      <c r="P360" s="15"/>
      <c r="Q360" s="11"/>
      <c r="R360" s="11"/>
      <c r="S360" s="11"/>
      <c r="T360" s="11"/>
      <c r="U360" s="15"/>
      <c r="V360" s="11"/>
      <c r="W360" s="11"/>
      <c r="X360" s="11"/>
      <c r="Y360" s="11"/>
      <c r="Z360" s="11"/>
    </row>
    <row r="361">
      <c r="A361" s="18"/>
      <c r="B361" s="11"/>
      <c r="C361" s="11"/>
      <c r="D361" s="11"/>
      <c r="E361" s="11"/>
      <c r="F361" s="11"/>
      <c r="G361" s="11"/>
      <c r="H361" s="11"/>
      <c r="I361" s="11"/>
      <c r="J361" s="11"/>
      <c r="K361" s="11"/>
      <c r="L361" s="15"/>
      <c r="M361" s="15"/>
      <c r="N361" s="15"/>
      <c r="O361" s="15"/>
      <c r="P361" s="15"/>
      <c r="Q361" s="11"/>
      <c r="R361" s="11"/>
      <c r="S361" s="11"/>
      <c r="T361" s="11"/>
      <c r="U361" s="15"/>
      <c r="V361" s="11"/>
      <c r="W361" s="11"/>
      <c r="X361" s="11"/>
      <c r="Y361" s="11"/>
      <c r="Z361" s="11"/>
    </row>
    <row r="362">
      <c r="A362" s="18"/>
      <c r="B362" s="11"/>
      <c r="C362" s="11"/>
      <c r="D362" s="11"/>
      <c r="E362" s="11"/>
      <c r="F362" s="11"/>
      <c r="G362" s="11"/>
      <c r="H362" s="11"/>
      <c r="I362" s="11"/>
      <c r="J362" s="11"/>
      <c r="K362" s="11"/>
      <c r="L362" s="15"/>
      <c r="M362" s="15"/>
      <c r="N362" s="15"/>
      <c r="O362" s="15"/>
      <c r="P362" s="15"/>
      <c r="Q362" s="11"/>
      <c r="R362" s="11"/>
      <c r="S362" s="11"/>
      <c r="T362" s="11"/>
      <c r="U362" s="15"/>
      <c r="V362" s="11"/>
      <c r="W362" s="11"/>
      <c r="X362" s="11"/>
      <c r="Y362" s="11"/>
      <c r="Z362" s="11"/>
    </row>
    <row r="363">
      <c r="A363" s="18"/>
      <c r="B363" s="11"/>
      <c r="C363" s="11"/>
      <c r="D363" s="11"/>
      <c r="E363" s="11"/>
      <c r="F363" s="11"/>
      <c r="G363" s="11"/>
      <c r="H363" s="11"/>
      <c r="I363" s="11"/>
      <c r="J363" s="11"/>
      <c r="K363" s="11"/>
      <c r="L363" s="15"/>
      <c r="M363" s="15"/>
      <c r="N363" s="15"/>
      <c r="O363" s="15"/>
      <c r="P363" s="15"/>
      <c r="Q363" s="11"/>
      <c r="R363" s="11"/>
      <c r="S363" s="11"/>
      <c r="T363" s="11"/>
      <c r="U363" s="15"/>
      <c r="V363" s="11"/>
      <c r="W363" s="11"/>
      <c r="X363" s="11"/>
      <c r="Y363" s="11"/>
      <c r="Z363" s="11"/>
    </row>
    <row r="364">
      <c r="A364" s="18"/>
      <c r="B364" s="11"/>
      <c r="C364" s="11"/>
      <c r="D364" s="11"/>
      <c r="E364" s="11"/>
      <c r="F364" s="11"/>
      <c r="G364" s="11"/>
      <c r="H364" s="11"/>
      <c r="I364" s="11"/>
      <c r="J364" s="11"/>
      <c r="K364" s="11"/>
      <c r="L364" s="15"/>
      <c r="M364" s="15"/>
      <c r="N364" s="15"/>
      <c r="O364" s="15"/>
      <c r="P364" s="15"/>
      <c r="Q364" s="11"/>
      <c r="R364" s="11"/>
      <c r="S364" s="11"/>
      <c r="T364" s="11"/>
      <c r="U364" s="15"/>
      <c r="V364" s="11"/>
      <c r="W364" s="11"/>
      <c r="X364" s="11"/>
      <c r="Y364" s="11"/>
      <c r="Z364" s="11"/>
    </row>
    <row r="365">
      <c r="A365" s="18"/>
      <c r="B365" s="11"/>
      <c r="C365" s="11"/>
      <c r="D365" s="11"/>
      <c r="E365" s="11"/>
      <c r="F365" s="11"/>
      <c r="G365" s="11"/>
      <c r="H365" s="11"/>
      <c r="I365" s="11"/>
      <c r="J365" s="11"/>
      <c r="K365" s="11"/>
      <c r="L365" s="15"/>
      <c r="M365" s="15"/>
      <c r="N365" s="15"/>
      <c r="O365" s="15"/>
      <c r="P365" s="15"/>
      <c r="Q365" s="11"/>
      <c r="R365" s="11"/>
      <c r="S365" s="11"/>
      <c r="T365" s="11"/>
      <c r="U365" s="15"/>
      <c r="V365" s="11"/>
      <c r="W365" s="11"/>
      <c r="X365" s="11"/>
      <c r="Y365" s="11"/>
      <c r="Z365" s="11"/>
    </row>
    <row r="366">
      <c r="A366" s="18"/>
      <c r="B366" s="11"/>
      <c r="C366" s="11"/>
      <c r="D366" s="11"/>
      <c r="E366" s="11"/>
      <c r="F366" s="11"/>
      <c r="G366" s="11"/>
      <c r="H366" s="11"/>
      <c r="I366" s="11"/>
      <c r="J366" s="11"/>
      <c r="K366" s="11"/>
      <c r="L366" s="15"/>
      <c r="M366" s="15"/>
      <c r="N366" s="15"/>
      <c r="O366" s="15"/>
      <c r="P366" s="15"/>
      <c r="Q366" s="11"/>
      <c r="R366" s="11"/>
      <c r="S366" s="11"/>
      <c r="T366" s="11"/>
      <c r="U366" s="15"/>
      <c r="V366" s="11"/>
      <c r="W366" s="11"/>
      <c r="X366" s="11"/>
      <c r="Y366" s="11"/>
      <c r="Z366" s="11"/>
    </row>
    <row r="367">
      <c r="A367" s="18"/>
      <c r="B367" s="11"/>
      <c r="C367" s="11"/>
      <c r="D367" s="11"/>
      <c r="E367" s="11"/>
      <c r="F367" s="11"/>
      <c r="G367" s="11"/>
      <c r="H367" s="11"/>
      <c r="I367" s="11"/>
      <c r="J367" s="11"/>
      <c r="K367" s="11"/>
      <c r="L367" s="15"/>
      <c r="M367" s="15"/>
      <c r="N367" s="15"/>
      <c r="O367" s="15"/>
      <c r="P367" s="15"/>
      <c r="Q367" s="11"/>
      <c r="R367" s="11"/>
      <c r="S367" s="11"/>
      <c r="T367" s="11"/>
      <c r="U367" s="15"/>
      <c r="V367" s="11"/>
      <c r="W367" s="11"/>
      <c r="X367" s="11"/>
      <c r="Y367" s="11"/>
      <c r="Z367" s="11"/>
    </row>
    <row r="368">
      <c r="A368" s="18"/>
      <c r="B368" s="11"/>
      <c r="C368" s="11"/>
      <c r="D368" s="11"/>
      <c r="E368" s="11"/>
      <c r="F368" s="11"/>
      <c r="G368" s="11"/>
      <c r="H368" s="11"/>
      <c r="I368" s="11"/>
      <c r="J368" s="11"/>
      <c r="K368" s="11"/>
      <c r="L368" s="15"/>
      <c r="M368" s="15"/>
      <c r="N368" s="15"/>
      <c r="O368" s="15"/>
      <c r="P368" s="15"/>
      <c r="Q368" s="11"/>
      <c r="R368" s="11"/>
      <c r="S368" s="11"/>
      <c r="T368" s="11"/>
      <c r="U368" s="15"/>
      <c r="V368" s="11"/>
      <c r="W368" s="11"/>
      <c r="X368" s="11"/>
      <c r="Y368" s="11"/>
      <c r="Z368" s="11"/>
    </row>
    <row r="369">
      <c r="A369" s="18"/>
      <c r="B369" s="11"/>
      <c r="C369" s="11"/>
      <c r="D369" s="11"/>
      <c r="E369" s="11"/>
      <c r="F369" s="11"/>
      <c r="G369" s="11"/>
      <c r="H369" s="11"/>
      <c r="I369" s="11"/>
      <c r="J369" s="11"/>
      <c r="K369" s="11"/>
      <c r="L369" s="15"/>
      <c r="M369" s="15"/>
      <c r="N369" s="15"/>
      <c r="O369" s="15"/>
      <c r="P369" s="15"/>
      <c r="Q369" s="11"/>
      <c r="R369" s="11"/>
      <c r="S369" s="11"/>
      <c r="T369" s="11"/>
      <c r="U369" s="15"/>
      <c r="V369" s="11"/>
      <c r="W369" s="11"/>
      <c r="X369" s="11"/>
      <c r="Y369" s="11"/>
      <c r="Z369" s="11"/>
    </row>
    <row r="370">
      <c r="A370" s="18"/>
      <c r="B370" s="11"/>
      <c r="C370" s="11"/>
      <c r="D370" s="11"/>
      <c r="E370" s="11"/>
      <c r="F370" s="11"/>
      <c r="G370" s="11"/>
      <c r="H370" s="11"/>
      <c r="I370" s="11"/>
      <c r="J370" s="11"/>
      <c r="K370" s="11"/>
      <c r="L370" s="15"/>
      <c r="M370" s="15"/>
      <c r="N370" s="15"/>
      <c r="O370" s="15"/>
      <c r="P370" s="15"/>
      <c r="Q370" s="11"/>
      <c r="R370" s="11"/>
      <c r="S370" s="11"/>
      <c r="T370" s="11"/>
      <c r="U370" s="15"/>
      <c r="V370" s="11"/>
      <c r="W370" s="11"/>
      <c r="X370" s="11"/>
      <c r="Y370" s="11"/>
      <c r="Z370" s="11"/>
    </row>
    <row r="371">
      <c r="A371" s="18"/>
      <c r="B371" s="11"/>
      <c r="C371" s="11"/>
      <c r="D371" s="11"/>
      <c r="E371" s="11"/>
      <c r="F371" s="11"/>
      <c r="G371" s="11"/>
      <c r="H371" s="11"/>
      <c r="I371" s="11"/>
      <c r="J371" s="11"/>
      <c r="K371" s="11"/>
      <c r="L371" s="15"/>
      <c r="M371" s="15"/>
      <c r="N371" s="15"/>
      <c r="O371" s="15"/>
      <c r="P371" s="15"/>
      <c r="Q371" s="11"/>
      <c r="R371" s="11"/>
      <c r="S371" s="11"/>
      <c r="T371" s="11"/>
      <c r="U371" s="15"/>
      <c r="V371" s="11"/>
      <c r="W371" s="11"/>
      <c r="X371" s="11"/>
      <c r="Y371" s="11"/>
      <c r="Z371" s="11"/>
    </row>
    <row r="372">
      <c r="A372" s="18"/>
      <c r="B372" s="11"/>
      <c r="C372" s="11"/>
      <c r="D372" s="11"/>
      <c r="E372" s="11"/>
      <c r="F372" s="11"/>
      <c r="G372" s="11"/>
      <c r="H372" s="11"/>
      <c r="I372" s="11"/>
      <c r="J372" s="11"/>
      <c r="K372" s="11"/>
      <c r="L372" s="15"/>
      <c r="M372" s="15"/>
      <c r="N372" s="15"/>
      <c r="O372" s="15"/>
      <c r="P372" s="15"/>
      <c r="Q372" s="11"/>
      <c r="R372" s="11"/>
      <c r="S372" s="11"/>
      <c r="T372" s="11"/>
      <c r="U372" s="15"/>
      <c r="V372" s="11"/>
      <c r="W372" s="11"/>
      <c r="X372" s="11"/>
      <c r="Y372" s="11"/>
      <c r="Z372" s="11"/>
    </row>
    <row r="373">
      <c r="A373" s="18"/>
      <c r="B373" s="11"/>
      <c r="C373" s="11"/>
      <c r="D373" s="11"/>
      <c r="E373" s="11"/>
      <c r="F373" s="11"/>
      <c r="G373" s="11"/>
      <c r="H373" s="11"/>
      <c r="I373" s="11"/>
      <c r="J373" s="11"/>
      <c r="K373" s="11"/>
      <c r="L373" s="15"/>
      <c r="M373" s="15"/>
      <c r="N373" s="15"/>
      <c r="O373" s="15"/>
      <c r="P373" s="15"/>
      <c r="Q373" s="11"/>
      <c r="R373" s="11"/>
      <c r="S373" s="11"/>
      <c r="T373" s="11"/>
      <c r="U373" s="15"/>
      <c r="V373" s="11"/>
      <c r="W373" s="11"/>
      <c r="X373" s="11"/>
      <c r="Y373" s="11"/>
      <c r="Z373" s="11"/>
    </row>
    <row r="374">
      <c r="A374" s="18"/>
      <c r="B374" s="11"/>
      <c r="C374" s="11"/>
      <c r="D374" s="11"/>
      <c r="E374" s="11"/>
      <c r="F374" s="11"/>
      <c r="G374" s="11"/>
      <c r="H374" s="11"/>
      <c r="I374" s="11"/>
      <c r="J374" s="11"/>
      <c r="K374" s="11"/>
      <c r="L374" s="15"/>
      <c r="M374" s="15"/>
      <c r="N374" s="15"/>
      <c r="O374" s="15"/>
      <c r="P374" s="15"/>
      <c r="Q374" s="11"/>
      <c r="R374" s="11"/>
      <c r="S374" s="11"/>
      <c r="T374" s="11"/>
      <c r="U374" s="15"/>
      <c r="V374" s="11"/>
      <c r="W374" s="11"/>
      <c r="X374" s="11"/>
      <c r="Y374" s="11"/>
      <c r="Z374" s="11"/>
    </row>
    <row r="375">
      <c r="A375" s="18"/>
      <c r="B375" s="11"/>
      <c r="C375" s="11"/>
      <c r="D375" s="11"/>
      <c r="E375" s="11"/>
      <c r="F375" s="11"/>
      <c r="G375" s="11"/>
      <c r="H375" s="11"/>
      <c r="I375" s="11"/>
      <c r="J375" s="11"/>
      <c r="K375" s="11"/>
      <c r="L375" s="15"/>
      <c r="M375" s="15"/>
      <c r="N375" s="15"/>
      <c r="O375" s="15"/>
      <c r="P375" s="15"/>
      <c r="Q375" s="11"/>
      <c r="R375" s="11"/>
      <c r="S375" s="11"/>
      <c r="T375" s="11"/>
      <c r="U375" s="15"/>
      <c r="V375" s="11"/>
      <c r="W375" s="11"/>
      <c r="X375" s="11"/>
      <c r="Y375" s="11"/>
      <c r="Z375" s="11"/>
    </row>
    <row r="376">
      <c r="A376" s="18"/>
      <c r="B376" s="11"/>
      <c r="C376" s="11"/>
      <c r="D376" s="11"/>
      <c r="E376" s="11"/>
      <c r="F376" s="11"/>
      <c r="G376" s="11"/>
      <c r="H376" s="11"/>
      <c r="I376" s="11"/>
      <c r="J376" s="11"/>
      <c r="K376" s="11"/>
      <c r="L376" s="15"/>
      <c r="M376" s="15"/>
      <c r="N376" s="15"/>
      <c r="O376" s="15"/>
      <c r="P376" s="15"/>
      <c r="Q376" s="11"/>
      <c r="R376" s="11"/>
      <c r="S376" s="11"/>
      <c r="T376" s="11"/>
      <c r="U376" s="15"/>
      <c r="V376" s="11"/>
      <c r="W376" s="11"/>
      <c r="X376" s="11"/>
      <c r="Y376" s="11"/>
      <c r="Z376" s="11"/>
    </row>
    <row r="377">
      <c r="A377" s="18"/>
      <c r="B377" s="11"/>
      <c r="C377" s="11"/>
      <c r="D377" s="11"/>
      <c r="E377" s="11"/>
      <c r="F377" s="11"/>
      <c r="G377" s="11"/>
      <c r="H377" s="11"/>
      <c r="I377" s="11"/>
      <c r="J377" s="11"/>
      <c r="K377" s="11"/>
      <c r="L377" s="15"/>
      <c r="M377" s="15"/>
      <c r="N377" s="15"/>
      <c r="O377" s="15"/>
      <c r="P377" s="15"/>
      <c r="Q377" s="11"/>
      <c r="R377" s="11"/>
      <c r="S377" s="11"/>
      <c r="T377" s="11"/>
      <c r="U377" s="15"/>
      <c r="V377" s="11"/>
      <c r="W377" s="11"/>
      <c r="X377" s="11"/>
      <c r="Y377" s="11"/>
      <c r="Z377" s="11"/>
    </row>
    <row r="378">
      <c r="A378" s="18"/>
      <c r="B378" s="11"/>
      <c r="C378" s="11"/>
      <c r="D378" s="11"/>
      <c r="E378" s="11"/>
      <c r="F378" s="11"/>
      <c r="G378" s="11"/>
      <c r="H378" s="11"/>
      <c r="I378" s="11"/>
      <c r="J378" s="11"/>
      <c r="K378" s="11"/>
      <c r="L378" s="15"/>
      <c r="M378" s="15"/>
      <c r="N378" s="15"/>
      <c r="O378" s="15"/>
      <c r="P378" s="15"/>
      <c r="Q378" s="11"/>
      <c r="R378" s="11"/>
      <c r="S378" s="11"/>
      <c r="T378" s="11"/>
      <c r="U378" s="15"/>
      <c r="V378" s="11"/>
      <c r="W378" s="11"/>
      <c r="X378" s="11"/>
      <c r="Y378" s="11"/>
      <c r="Z378" s="11"/>
    </row>
    <row r="379">
      <c r="A379" s="18"/>
      <c r="B379" s="11"/>
      <c r="C379" s="11"/>
      <c r="D379" s="11"/>
      <c r="E379" s="11"/>
      <c r="F379" s="11"/>
      <c r="G379" s="11"/>
      <c r="H379" s="11"/>
      <c r="I379" s="11"/>
      <c r="J379" s="11"/>
      <c r="K379" s="11"/>
      <c r="L379" s="15"/>
      <c r="M379" s="15"/>
      <c r="N379" s="15"/>
      <c r="O379" s="15"/>
      <c r="P379" s="15"/>
      <c r="Q379" s="11"/>
      <c r="R379" s="11"/>
      <c r="S379" s="11"/>
      <c r="T379" s="11"/>
      <c r="U379" s="15"/>
      <c r="V379" s="11"/>
      <c r="W379" s="11"/>
      <c r="X379" s="11"/>
      <c r="Y379" s="11"/>
      <c r="Z379" s="11"/>
    </row>
    <row r="380">
      <c r="A380" s="18"/>
      <c r="B380" s="11"/>
      <c r="C380" s="11"/>
      <c r="D380" s="11"/>
      <c r="E380" s="11"/>
      <c r="F380" s="11"/>
      <c r="G380" s="11"/>
      <c r="H380" s="11"/>
      <c r="I380" s="11"/>
      <c r="J380" s="11"/>
      <c r="K380" s="11"/>
      <c r="L380" s="15"/>
      <c r="M380" s="15"/>
      <c r="N380" s="15"/>
      <c r="O380" s="15"/>
      <c r="P380" s="15"/>
      <c r="Q380" s="11"/>
      <c r="R380" s="11"/>
      <c r="S380" s="11"/>
      <c r="T380" s="11"/>
      <c r="U380" s="15"/>
      <c r="V380" s="11"/>
      <c r="W380" s="11"/>
      <c r="X380" s="11"/>
      <c r="Y380" s="11"/>
      <c r="Z380" s="11"/>
    </row>
    <row r="381">
      <c r="A381" s="18"/>
      <c r="B381" s="11"/>
      <c r="C381" s="11"/>
      <c r="D381" s="11"/>
      <c r="E381" s="11"/>
      <c r="F381" s="11"/>
      <c r="G381" s="11"/>
      <c r="H381" s="11"/>
      <c r="I381" s="11"/>
      <c r="J381" s="11"/>
      <c r="K381" s="11"/>
      <c r="L381" s="15"/>
      <c r="M381" s="15"/>
      <c r="N381" s="15"/>
      <c r="O381" s="15"/>
      <c r="P381" s="15"/>
      <c r="Q381" s="11"/>
      <c r="R381" s="11"/>
      <c r="S381" s="11"/>
      <c r="T381" s="11"/>
      <c r="U381" s="15"/>
      <c r="V381" s="11"/>
      <c r="W381" s="11"/>
      <c r="X381" s="11"/>
      <c r="Y381" s="11"/>
      <c r="Z381" s="11"/>
    </row>
    <row r="382">
      <c r="A382" s="18"/>
      <c r="B382" s="11"/>
      <c r="C382" s="11"/>
      <c r="D382" s="11"/>
      <c r="E382" s="11"/>
      <c r="F382" s="11"/>
      <c r="G382" s="11"/>
      <c r="H382" s="11"/>
      <c r="I382" s="11"/>
      <c r="J382" s="11"/>
      <c r="K382" s="11"/>
      <c r="L382" s="15"/>
      <c r="M382" s="15"/>
      <c r="N382" s="15"/>
      <c r="O382" s="15"/>
      <c r="P382" s="15"/>
      <c r="Q382" s="11"/>
      <c r="R382" s="11"/>
      <c r="S382" s="11"/>
      <c r="T382" s="11"/>
      <c r="U382" s="15"/>
      <c r="V382" s="11"/>
      <c r="W382" s="11"/>
      <c r="X382" s="11"/>
      <c r="Y382" s="11"/>
      <c r="Z382" s="11"/>
    </row>
    <row r="383">
      <c r="A383" s="18"/>
      <c r="B383" s="11"/>
      <c r="C383" s="11"/>
      <c r="D383" s="11"/>
      <c r="E383" s="11"/>
      <c r="F383" s="11"/>
      <c r="G383" s="11"/>
      <c r="H383" s="11"/>
      <c r="I383" s="11"/>
      <c r="J383" s="11"/>
      <c r="K383" s="11"/>
      <c r="L383" s="15"/>
      <c r="M383" s="15"/>
      <c r="N383" s="15"/>
      <c r="O383" s="15"/>
      <c r="P383" s="15"/>
      <c r="Q383" s="11"/>
      <c r="R383" s="11"/>
      <c r="S383" s="11"/>
      <c r="T383" s="11"/>
      <c r="U383" s="15"/>
      <c r="V383" s="11"/>
      <c r="W383" s="11"/>
      <c r="X383" s="11"/>
      <c r="Y383" s="11"/>
      <c r="Z383" s="11"/>
    </row>
    <row r="384">
      <c r="A384" s="18"/>
      <c r="B384" s="11"/>
      <c r="C384" s="11"/>
      <c r="D384" s="11"/>
      <c r="E384" s="11"/>
      <c r="F384" s="11"/>
      <c r="G384" s="11"/>
      <c r="H384" s="11"/>
      <c r="I384" s="11"/>
      <c r="J384" s="11"/>
      <c r="K384" s="11"/>
      <c r="L384" s="15"/>
      <c r="M384" s="15"/>
      <c r="N384" s="15"/>
      <c r="O384" s="15"/>
      <c r="P384" s="15"/>
      <c r="Q384" s="11"/>
      <c r="R384" s="11"/>
      <c r="S384" s="11"/>
      <c r="T384" s="11"/>
      <c r="U384" s="15"/>
      <c r="V384" s="11"/>
      <c r="W384" s="11"/>
      <c r="X384" s="11"/>
      <c r="Y384" s="11"/>
      <c r="Z384" s="11"/>
    </row>
    <row r="385">
      <c r="A385" s="18"/>
      <c r="B385" s="11"/>
      <c r="C385" s="11"/>
      <c r="D385" s="11"/>
      <c r="E385" s="11"/>
      <c r="F385" s="11"/>
      <c r="G385" s="11"/>
      <c r="H385" s="11"/>
      <c r="I385" s="11"/>
      <c r="J385" s="11"/>
      <c r="K385" s="11"/>
      <c r="L385" s="15"/>
      <c r="M385" s="15"/>
      <c r="N385" s="15"/>
      <c r="O385" s="15"/>
      <c r="P385" s="15"/>
      <c r="Q385" s="11"/>
      <c r="R385" s="11"/>
      <c r="S385" s="11"/>
      <c r="T385" s="11"/>
      <c r="U385" s="15"/>
      <c r="V385" s="11"/>
      <c r="W385" s="11"/>
      <c r="X385" s="11"/>
      <c r="Y385" s="11"/>
      <c r="Z385" s="11"/>
    </row>
    <row r="386">
      <c r="A386" s="18"/>
      <c r="B386" s="11"/>
      <c r="C386" s="11"/>
      <c r="D386" s="11"/>
      <c r="E386" s="11"/>
      <c r="F386" s="11"/>
      <c r="G386" s="11"/>
      <c r="H386" s="11"/>
      <c r="I386" s="11"/>
      <c r="J386" s="11"/>
      <c r="K386" s="11"/>
      <c r="L386" s="15"/>
      <c r="M386" s="15"/>
      <c r="N386" s="15"/>
      <c r="O386" s="15"/>
      <c r="P386" s="15"/>
      <c r="Q386" s="11"/>
      <c r="R386" s="11"/>
      <c r="S386" s="11"/>
      <c r="T386" s="11"/>
      <c r="U386" s="15"/>
      <c r="V386" s="11"/>
      <c r="W386" s="11"/>
      <c r="X386" s="11"/>
      <c r="Y386" s="11"/>
      <c r="Z386" s="11"/>
    </row>
    <row r="387">
      <c r="A387" s="18"/>
      <c r="B387" s="11"/>
      <c r="C387" s="11"/>
      <c r="D387" s="11"/>
      <c r="E387" s="11"/>
      <c r="F387" s="11"/>
      <c r="G387" s="11"/>
      <c r="H387" s="11"/>
      <c r="I387" s="11"/>
      <c r="J387" s="11"/>
      <c r="K387" s="11"/>
      <c r="L387" s="15"/>
      <c r="M387" s="15"/>
      <c r="N387" s="15"/>
      <c r="O387" s="15"/>
      <c r="P387" s="15"/>
      <c r="Q387" s="11"/>
      <c r="R387" s="11"/>
      <c r="S387" s="11"/>
      <c r="T387" s="11"/>
      <c r="U387" s="15"/>
      <c r="V387" s="11"/>
      <c r="W387" s="11"/>
      <c r="X387" s="11"/>
      <c r="Y387" s="11"/>
      <c r="Z387" s="11"/>
    </row>
    <row r="388">
      <c r="A388" s="18"/>
      <c r="B388" s="11"/>
      <c r="C388" s="11"/>
      <c r="D388" s="11"/>
      <c r="E388" s="11"/>
      <c r="F388" s="11"/>
      <c r="G388" s="11"/>
      <c r="H388" s="11"/>
      <c r="I388" s="11"/>
      <c r="J388" s="11"/>
      <c r="K388" s="11"/>
      <c r="L388" s="15"/>
      <c r="M388" s="15"/>
      <c r="N388" s="15"/>
      <c r="O388" s="15"/>
      <c r="P388" s="15"/>
      <c r="Q388" s="11"/>
      <c r="R388" s="11"/>
      <c r="S388" s="11"/>
      <c r="T388" s="11"/>
      <c r="U388" s="15"/>
      <c r="V388" s="11"/>
      <c r="W388" s="11"/>
      <c r="X388" s="11"/>
      <c r="Y388" s="11"/>
      <c r="Z388" s="11"/>
    </row>
    <row r="389">
      <c r="A389" s="18"/>
      <c r="B389" s="11"/>
      <c r="C389" s="11"/>
      <c r="D389" s="11"/>
      <c r="E389" s="11"/>
      <c r="F389" s="11"/>
      <c r="G389" s="11"/>
      <c r="H389" s="11"/>
      <c r="I389" s="11"/>
      <c r="J389" s="11"/>
      <c r="K389" s="11"/>
      <c r="L389" s="15"/>
      <c r="M389" s="15"/>
      <c r="N389" s="15"/>
      <c r="O389" s="15"/>
      <c r="P389" s="15"/>
      <c r="Q389" s="11"/>
      <c r="R389" s="11"/>
      <c r="S389" s="11"/>
      <c r="T389" s="11"/>
      <c r="U389" s="15"/>
      <c r="V389" s="11"/>
      <c r="W389" s="11"/>
      <c r="X389" s="11"/>
      <c r="Y389" s="11"/>
      <c r="Z389" s="11"/>
    </row>
    <row r="390">
      <c r="A390" s="18"/>
      <c r="B390" s="11"/>
      <c r="C390" s="11"/>
      <c r="D390" s="11"/>
      <c r="E390" s="11"/>
      <c r="F390" s="11"/>
      <c r="G390" s="11"/>
      <c r="H390" s="11"/>
      <c r="I390" s="11"/>
      <c r="J390" s="11"/>
      <c r="K390" s="11"/>
      <c r="L390" s="15"/>
      <c r="M390" s="15"/>
      <c r="N390" s="15"/>
      <c r="O390" s="15"/>
      <c r="P390" s="15"/>
      <c r="Q390" s="11"/>
      <c r="R390" s="11"/>
      <c r="S390" s="11"/>
      <c r="T390" s="11"/>
      <c r="U390" s="15"/>
      <c r="V390" s="11"/>
      <c r="W390" s="11"/>
      <c r="X390" s="11"/>
      <c r="Y390" s="11"/>
      <c r="Z390" s="11"/>
    </row>
    <row r="391">
      <c r="A391" s="18"/>
      <c r="B391" s="11"/>
      <c r="C391" s="11"/>
      <c r="D391" s="11"/>
      <c r="E391" s="11"/>
      <c r="F391" s="11"/>
      <c r="G391" s="11"/>
      <c r="H391" s="11"/>
      <c r="I391" s="11"/>
      <c r="J391" s="11"/>
      <c r="K391" s="11"/>
      <c r="L391" s="15"/>
      <c r="M391" s="15"/>
      <c r="N391" s="15"/>
      <c r="O391" s="15"/>
      <c r="P391" s="15"/>
      <c r="Q391" s="11"/>
      <c r="R391" s="11"/>
      <c r="S391" s="11"/>
      <c r="T391" s="11"/>
      <c r="U391" s="15"/>
      <c r="V391" s="11"/>
      <c r="W391" s="11"/>
      <c r="X391" s="11"/>
      <c r="Y391" s="11"/>
      <c r="Z391" s="11"/>
    </row>
    <row r="392">
      <c r="A392" s="18"/>
      <c r="B392" s="11"/>
      <c r="C392" s="11"/>
      <c r="D392" s="11"/>
      <c r="E392" s="11"/>
      <c r="F392" s="11"/>
      <c r="G392" s="11"/>
      <c r="H392" s="11"/>
      <c r="I392" s="11"/>
      <c r="J392" s="11"/>
      <c r="K392" s="11"/>
      <c r="L392" s="15"/>
      <c r="M392" s="15"/>
      <c r="N392" s="15"/>
      <c r="O392" s="15"/>
      <c r="P392" s="15"/>
      <c r="Q392" s="11"/>
      <c r="R392" s="11"/>
      <c r="S392" s="11"/>
      <c r="T392" s="11"/>
      <c r="U392" s="15"/>
      <c r="V392" s="11"/>
      <c r="W392" s="11"/>
      <c r="X392" s="11"/>
      <c r="Y392" s="11"/>
      <c r="Z392" s="11"/>
    </row>
    <row r="393">
      <c r="A393" s="18"/>
      <c r="B393" s="11"/>
      <c r="C393" s="11"/>
      <c r="D393" s="11"/>
      <c r="E393" s="11"/>
      <c r="F393" s="11"/>
      <c r="G393" s="11"/>
      <c r="H393" s="11"/>
      <c r="I393" s="11"/>
      <c r="J393" s="11"/>
      <c r="K393" s="11"/>
      <c r="L393" s="15"/>
      <c r="M393" s="15"/>
      <c r="N393" s="15"/>
      <c r="O393" s="15"/>
      <c r="P393" s="15"/>
      <c r="Q393" s="11"/>
      <c r="R393" s="11"/>
      <c r="S393" s="11"/>
      <c r="T393" s="11"/>
      <c r="U393" s="15"/>
      <c r="V393" s="11"/>
      <c r="W393" s="11"/>
      <c r="X393" s="11"/>
      <c r="Y393" s="11"/>
      <c r="Z393" s="11"/>
    </row>
    <row r="394">
      <c r="A394" s="18"/>
      <c r="B394" s="11"/>
      <c r="C394" s="11"/>
      <c r="D394" s="11"/>
      <c r="E394" s="11"/>
      <c r="F394" s="11"/>
      <c r="G394" s="11"/>
      <c r="H394" s="11"/>
      <c r="I394" s="11"/>
      <c r="J394" s="11"/>
      <c r="K394" s="11"/>
      <c r="L394" s="15"/>
      <c r="M394" s="15"/>
      <c r="N394" s="15"/>
      <c r="O394" s="15"/>
      <c r="P394" s="15"/>
      <c r="Q394" s="11"/>
      <c r="R394" s="11"/>
      <c r="S394" s="11"/>
      <c r="T394" s="11"/>
      <c r="U394" s="15"/>
      <c r="V394" s="11"/>
      <c r="W394" s="11"/>
      <c r="X394" s="11"/>
      <c r="Y394" s="11"/>
      <c r="Z394" s="11"/>
    </row>
    <row r="395">
      <c r="A395" s="18"/>
      <c r="B395" s="11"/>
      <c r="C395" s="11"/>
      <c r="D395" s="11"/>
      <c r="E395" s="11"/>
      <c r="F395" s="11"/>
      <c r="G395" s="11"/>
      <c r="H395" s="11"/>
      <c r="I395" s="11"/>
      <c r="J395" s="11"/>
      <c r="K395" s="11"/>
      <c r="L395" s="15"/>
      <c r="M395" s="15"/>
      <c r="N395" s="15"/>
      <c r="O395" s="15"/>
      <c r="P395" s="15"/>
      <c r="Q395" s="11"/>
      <c r="R395" s="11"/>
      <c r="S395" s="11"/>
      <c r="T395" s="11"/>
      <c r="U395" s="15"/>
      <c r="V395" s="11"/>
      <c r="W395" s="11"/>
      <c r="X395" s="11"/>
      <c r="Y395" s="11"/>
      <c r="Z395" s="11"/>
    </row>
    <row r="396">
      <c r="A396" s="18"/>
      <c r="B396" s="11"/>
      <c r="C396" s="11"/>
      <c r="D396" s="11"/>
      <c r="E396" s="11"/>
      <c r="F396" s="11"/>
      <c r="G396" s="11"/>
      <c r="H396" s="11"/>
      <c r="I396" s="11"/>
      <c r="J396" s="11"/>
      <c r="K396" s="11"/>
      <c r="L396" s="15"/>
      <c r="M396" s="15"/>
      <c r="N396" s="15"/>
      <c r="O396" s="15"/>
      <c r="P396" s="15"/>
      <c r="Q396" s="11"/>
      <c r="R396" s="11"/>
      <c r="S396" s="11"/>
      <c r="T396" s="11"/>
      <c r="U396" s="15"/>
      <c r="V396" s="11"/>
      <c r="W396" s="11"/>
      <c r="X396" s="11"/>
      <c r="Y396" s="11"/>
      <c r="Z396" s="11"/>
    </row>
    <row r="397">
      <c r="A397" s="18"/>
      <c r="B397" s="11"/>
      <c r="C397" s="11"/>
      <c r="D397" s="11"/>
      <c r="E397" s="11"/>
      <c r="F397" s="11"/>
      <c r="G397" s="11"/>
      <c r="H397" s="11"/>
      <c r="I397" s="11"/>
      <c r="J397" s="11"/>
      <c r="K397" s="11"/>
      <c r="L397" s="15"/>
      <c r="M397" s="15"/>
      <c r="N397" s="15"/>
      <c r="O397" s="15"/>
      <c r="P397" s="15"/>
      <c r="Q397" s="11"/>
      <c r="R397" s="11"/>
      <c r="S397" s="11"/>
      <c r="T397" s="11"/>
      <c r="U397" s="15"/>
      <c r="V397" s="11"/>
      <c r="W397" s="11"/>
      <c r="X397" s="11"/>
      <c r="Y397" s="11"/>
      <c r="Z397" s="11"/>
    </row>
    <row r="398">
      <c r="A398" s="18"/>
      <c r="B398" s="11"/>
      <c r="C398" s="11"/>
      <c r="D398" s="11"/>
      <c r="E398" s="11"/>
      <c r="F398" s="11"/>
      <c r="G398" s="11"/>
      <c r="H398" s="11"/>
      <c r="I398" s="11"/>
      <c r="J398" s="11"/>
      <c r="K398" s="11"/>
      <c r="L398" s="15"/>
      <c r="M398" s="15"/>
      <c r="N398" s="15"/>
      <c r="O398" s="15"/>
      <c r="P398" s="15"/>
      <c r="Q398" s="11"/>
      <c r="R398" s="11"/>
      <c r="S398" s="11"/>
      <c r="T398" s="11"/>
      <c r="U398" s="15"/>
      <c r="V398" s="11"/>
      <c r="W398" s="11"/>
      <c r="X398" s="11"/>
      <c r="Y398" s="11"/>
      <c r="Z398" s="11"/>
    </row>
    <row r="399">
      <c r="A399" s="18"/>
      <c r="B399" s="11"/>
      <c r="C399" s="11"/>
      <c r="D399" s="11"/>
      <c r="E399" s="11"/>
      <c r="F399" s="11"/>
      <c r="G399" s="11"/>
      <c r="H399" s="11"/>
      <c r="I399" s="11"/>
      <c r="J399" s="11"/>
      <c r="K399" s="11"/>
      <c r="L399" s="15"/>
      <c r="M399" s="15"/>
      <c r="N399" s="15"/>
      <c r="O399" s="15"/>
      <c r="P399" s="15"/>
      <c r="Q399" s="11"/>
      <c r="R399" s="11"/>
      <c r="S399" s="11"/>
      <c r="T399" s="11"/>
      <c r="U399" s="15"/>
      <c r="V399" s="11"/>
      <c r="W399" s="11"/>
      <c r="X399" s="11"/>
      <c r="Y399" s="11"/>
      <c r="Z399" s="11"/>
    </row>
    <row r="400">
      <c r="A400" s="18"/>
      <c r="B400" s="11"/>
      <c r="C400" s="11"/>
      <c r="D400" s="11"/>
      <c r="E400" s="11"/>
      <c r="F400" s="11"/>
      <c r="G400" s="11"/>
      <c r="H400" s="11"/>
      <c r="I400" s="11"/>
      <c r="J400" s="11"/>
      <c r="K400" s="11"/>
      <c r="L400" s="15"/>
      <c r="M400" s="15"/>
      <c r="N400" s="15"/>
      <c r="O400" s="15"/>
      <c r="P400" s="15"/>
      <c r="Q400" s="11"/>
      <c r="R400" s="11"/>
      <c r="S400" s="11"/>
      <c r="T400" s="11"/>
      <c r="U400" s="15"/>
      <c r="V400" s="11"/>
      <c r="W400" s="11"/>
      <c r="X400" s="11"/>
      <c r="Y400" s="11"/>
      <c r="Z400" s="11"/>
    </row>
    <row r="401">
      <c r="A401" s="18"/>
      <c r="B401" s="11"/>
      <c r="C401" s="11"/>
      <c r="D401" s="11"/>
      <c r="E401" s="11"/>
      <c r="F401" s="11"/>
      <c r="G401" s="11"/>
      <c r="H401" s="11"/>
      <c r="I401" s="11"/>
      <c r="J401" s="11"/>
      <c r="K401" s="11"/>
      <c r="L401" s="15"/>
      <c r="M401" s="15"/>
      <c r="N401" s="15"/>
      <c r="O401" s="15"/>
      <c r="P401" s="15"/>
      <c r="Q401" s="11"/>
      <c r="R401" s="11"/>
      <c r="S401" s="11"/>
      <c r="T401" s="11"/>
      <c r="U401" s="15"/>
      <c r="V401" s="11"/>
      <c r="W401" s="11"/>
      <c r="X401" s="11"/>
      <c r="Y401" s="11"/>
      <c r="Z401" s="11"/>
    </row>
    <row r="402">
      <c r="A402" s="18"/>
      <c r="B402" s="11"/>
      <c r="C402" s="11"/>
      <c r="D402" s="11"/>
      <c r="E402" s="11"/>
      <c r="F402" s="11"/>
      <c r="G402" s="11"/>
      <c r="H402" s="11"/>
      <c r="I402" s="11"/>
      <c r="J402" s="11"/>
      <c r="K402" s="11"/>
      <c r="L402" s="15"/>
      <c r="M402" s="15"/>
      <c r="N402" s="15"/>
      <c r="O402" s="15"/>
      <c r="P402" s="15"/>
      <c r="Q402" s="11"/>
      <c r="R402" s="11"/>
      <c r="S402" s="11"/>
      <c r="T402" s="11"/>
      <c r="U402" s="15"/>
      <c r="V402" s="11"/>
      <c r="W402" s="11"/>
      <c r="X402" s="11"/>
      <c r="Y402" s="11"/>
      <c r="Z402" s="11"/>
    </row>
    <row r="403">
      <c r="A403" s="18"/>
      <c r="B403" s="11"/>
      <c r="C403" s="11"/>
      <c r="D403" s="11"/>
      <c r="E403" s="11"/>
      <c r="F403" s="11"/>
      <c r="G403" s="11"/>
      <c r="H403" s="11"/>
      <c r="I403" s="11"/>
      <c r="J403" s="11"/>
      <c r="K403" s="11"/>
      <c r="L403" s="15"/>
      <c r="M403" s="15"/>
      <c r="N403" s="15"/>
      <c r="O403" s="15"/>
      <c r="P403" s="15"/>
      <c r="Q403" s="11"/>
      <c r="R403" s="11"/>
      <c r="S403" s="11"/>
      <c r="T403" s="11"/>
      <c r="U403" s="15"/>
      <c r="V403" s="11"/>
      <c r="W403" s="11"/>
      <c r="X403" s="11"/>
      <c r="Y403" s="11"/>
      <c r="Z403" s="11"/>
    </row>
    <row r="404">
      <c r="A404" s="18"/>
      <c r="B404" s="11"/>
      <c r="C404" s="11"/>
      <c r="D404" s="11"/>
      <c r="E404" s="11"/>
      <c r="F404" s="11"/>
      <c r="G404" s="11"/>
      <c r="H404" s="11"/>
      <c r="I404" s="11"/>
      <c r="J404" s="11"/>
      <c r="K404" s="11"/>
      <c r="L404" s="15"/>
      <c r="M404" s="15"/>
      <c r="N404" s="15"/>
      <c r="O404" s="15"/>
      <c r="P404" s="15"/>
      <c r="Q404" s="11"/>
      <c r="R404" s="11"/>
      <c r="S404" s="11"/>
      <c r="T404" s="11"/>
      <c r="U404" s="15"/>
      <c r="V404" s="11"/>
      <c r="W404" s="11"/>
      <c r="X404" s="11"/>
      <c r="Y404" s="11"/>
      <c r="Z404" s="11"/>
    </row>
    <row r="405">
      <c r="A405" s="18"/>
      <c r="B405" s="11"/>
      <c r="C405" s="11"/>
      <c r="D405" s="11"/>
      <c r="E405" s="11"/>
      <c r="F405" s="11"/>
      <c r="G405" s="11"/>
      <c r="H405" s="11"/>
      <c r="I405" s="11"/>
      <c r="J405" s="11"/>
      <c r="K405" s="11"/>
      <c r="L405" s="15"/>
      <c r="M405" s="15"/>
      <c r="N405" s="15"/>
      <c r="O405" s="15"/>
      <c r="P405" s="15"/>
      <c r="Q405" s="11"/>
      <c r="R405" s="11"/>
      <c r="S405" s="11"/>
      <c r="T405" s="11"/>
      <c r="U405" s="15"/>
      <c r="V405" s="11"/>
      <c r="W405" s="11"/>
      <c r="X405" s="11"/>
      <c r="Y405" s="11"/>
      <c r="Z405" s="11"/>
    </row>
    <row r="406">
      <c r="A406" s="18"/>
      <c r="B406" s="11"/>
      <c r="C406" s="11"/>
      <c r="D406" s="11"/>
      <c r="E406" s="11"/>
      <c r="F406" s="11"/>
      <c r="G406" s="11"/>
      <c r="H406" s="11"/>
      <c r="I406" s="11"/>
      <c r="J406" s="11"/>
      <c r="K406" s="11"/>
      <c r="L406" s="15"/>
      <c r="M406" s="15"/>
      <c r="N406" s="15"/>
      <c r="O406" s="15"/>
      <c r="P406" s="15"/>
      <c r="Q406" s="11"/>
      <c r="R406" s="11"/>
      <c r="S406" s="11"/>
      <c r="T406" s="11"/>
      <c r="U406" s="15"/>
      <c r="V406" s="11"/>
      <c r="W406" s="11"/>
      <c r="X406" s="11"/>
      <c r="Y406" s="11"/>
      <c r="Z406" s="11"/>
    </row>
    <row r="407">
      <c r="A407" s="18"/>
      <c r="B407" s="11"/>
      <c r="C407" s="11"/>
      <c r="D407" s="11"/>
      <c r="E407" s="11"/>
      <c r="F407" s="11"/>
      <c r="G407" s="11"/>
      <c r="H407" s="11"/>
      <c r="I407" s="11"/>
      <c r="J407" s="11"/>
      <c r="K407" s="11"/>
      <c r="L407" s="15"/>
      <c r="M407" s="15"/>
      <c r="N407" s="15"/>
      <c r="O407" s="15"/>
      <c r="P407" s="15"/>
      <c r="Q407" s="11"/>
      <c r="R407" s="11"/>
      <c r="S407" s="11"/>
      <c r="T407" s="11"/>
      <c r="U407" s="15"/>
      <c r="V407" s="11"/>
      <c r="W407" s="11"/>
      <c r="X407" s="11"/>
      <c r="Y407" s="11"/>
      <c r="Z407" s="11"/>
    </row>
    <row r="408">
      <c r="A408" s="18"/>
      <c r="B408" s="11"/>
      <c r="C408" s="11"/>
      <c r="D408" s="11"/>
      <c r="E408" s="11"/>
      <c r="F408" s="11"/>
      <c r="G408" s="11"/>
      <c r="H408" s="11"/>
      <c r="I408" s="11"/>
      <c r="J408" s="11"/>
      <c r="K408" s="11"/>
      <c r="L408" s="15"/>
      <c r="M408" s="15"/>
      <c r="N408" s="15"/>
      <c r="O408" s="15"/>
      <c r="P408" s="15"/>
      <c r="Q408" s="11"/>
      <c r="R408" s="11"/>
      <c r="S408" s="11"/>
      <c r="T408" s="11"/>
      <c r="U408" s="15"/>
      <c r="V408" s="11"/>
      <c r="W408" s="11"/>
      <c r="X408" s="11"/>
      <c r="Y408" s="11"/>
      <c r="Z408" s="11"/>
    </row>
    <row r="409">
      <c r="A409" s="18"/>
      <c r="B409" s="11"/>
      <c r="C409" s="11"/>
      <c r="D409" s="11"/>
      <c r="E409" s="11"/>
      <c r="F409" s="11"/>
      <c r="G409" s="11"/>
      <c r="H409" s="11"/>
      <c r="I409" s="11"/>
      <c r="J409" s="11"/>
      <c r="K409" s="11"/>
      <c r="L409" s="15"/>
      <c r="M409" s="15"/>
      <c r="N409" s="15"/>
      <c r="O409" s="15"/>
      <c r="P409" s="15"/>
      <c r="Q409" s="11"/>
      <c r="R409" s="11"/>
      <c r="S409" s="11"/>
      <c r="T409" s="11"/>
      <c r="U409" s="15"/>
      <c r="V409" s="11"/>
      <c r="W409" s="11"/>
      <c r="X409" s="11"/>
      <c r="Y409" s="11"/>
      <c r="Z409" s="11"/>
    </row>
    <row r="410">
      <c r="A410" s="18"/>
      <c r="B410" s="11"/>
      <c r="C410" s="11"/>
      <c r="D410" s="11"/>
      <c r="E410" s="11"/>
      <c r="F410" s="11"/>
      <c r="G410" s="11"/>
      <c r="H410" s="11"/>
      <c r="I410" s="11"/>
      <c r="J410" s="11"/>
      <c r="K410" s="11"/>
      <c r="L410" s="15"/>
      <c r="M410" s="15"/>
      <c r="N410" s="15"/>
      <c r="O410" s="15"/>
      <c r="P410" s="15"/>
      <c r="Q410" s="11"/>
      <c r="R410" s="11"/>
      <c r="S410" s="11"/>
      <c r="T410" s="11"/>
      <c r="U410" s="15"/>
      <c r="V410" s="11"/>
      <c r="W410" s="11"/>
      <c r="X410" s="11"/>
      <c r="Y410" s="11"/>
      <c r="Z410" s="11"/>
    </row>
    <row r="411">
      <c r="A411" s="18"/>
      <c r="B411" s="11"/>
      <c r="C411" s="11"/>
      <c r="D411" s="11"/>
      <c r="E411" s="11"/>
      <c r="F411" s="11"/>
      <c r="G411" s="11"/>
      <c r="H411" s="11"/>
      <c r="I411" s="11"/>
      <c r="J411" s="11"/>
      <c r="K411" s="11"/>
      <c r="L411" s="15"/>
      <c r="M411" s="15"/>
      <c r="N411" s="15"/>
      <c r="O411" s="15"/>
      <c r="P411" s="15"/>
      <c r="Q411" s="11"/>
      <c r="R411" s="11"/>
      <c r="S411" s="11"/>
      <c r="T411" s="11"/>
      <c r="U411" s="15"/>
      <c r="V411" s="11"/>
      <c r="W411" s="11"/>
      <c r="X411" s="11"/>
      <c r="Y411" s="11"/>
      <c r="Z411" s="11"/>
    </row>
    <row r="412">
      <c r="A412" s="18"/>
      <c r="B412" s="11"/>
      <c r="C412" s="11"/>
      <c r="D412" s="11"/>
      <c r="E412" s="11"/>
      <c r="F412" s="11"/>
      <c r="G412" s="11"/>
      <c r="H412" s="11"/>
      <c r="I412" s="11"/>
      <c r="J412" s="11"/>
      <c r="K412" s="11"/>
      <c r="L412" s="15"/>
      <c r="M412" s="15"/>
      <c r="N412" s="15"/>
      <c r="O412" s="15"/>
      <c r="P412" s="15"/>
      <c r="Q412" s="11"/>
      <c r="R412" s="11"/>
      <c r="S412" s="11"/>
      <c r="T412" s="11"/>
      <c r="U412" s="15"/>
      <c r="V412" s="11"/>
      <c r="W412" s="11"/>
      <c r="X412" s="11"/>
      <c r="Y412" s="11"/>
      <c r="Z412" s="11"/>
    </row>
    <row r="413">
      <c r="A413" s="18"/>
      <c r="B413" s="11"/>
      <c r="C413" s="11"/>
      <c r="D413" s="11"/>
      <c r="E413" s="11"/>
      <c r="F413" s="11"/>
      <c r="G413" s="11"/>
      <c r="H413" s="11"/>
      <c r="I413" s="11"/>
      <c r="J413" s="11"/>
      <c r="K413" s="11"/>
      <c r="L413" s="15"/>
      <c r="M413" s="15"/>
      <c r="N413" s="15"/>
      <c r="O413" s="15"/>
      <c r="P413" s="15"/>
      <c r="Q413" s="11"/>
      <c r="R413" s="11"/>
      <c r="S413" s="11"/>
      <c r="T413" s="11"/>
      <c r="U413" s="15"/>
      <c r="V413" s="11"/>
      <c r="W413" s="11"/>
      <c r="X413" s="11"/>
      <c r="Y413" s="11"/>
      <c r="Z413" s="11"/>
    </row>
    <row r="414">
      <c r="A414" s="18"/>
      <c r="B414" s="11"/>
      <c r="C414" s="11"/>
      <c r="D414" s="11"/>
      <c r="E414" s="11"/>
      <c r="F414" s="11"/>
      <c r="G414" s="11"/>
      <c r="H414" s="11"/>
      <c r="I414" s="11"/>
      <c r="J414" s="11"/>
      <c r="K414" s="11"/>
      <c r="L414" s="15"/>
      <c r="M414" s="15"/>
      <c r="N414" s="15"/>
      <c r="O414" s="15"/>
      <c r="P414" s="15"/>
      <c r="Q414" s="11"/>
      <c r="R414" s="11"/>
      <c r="S414" s="11"/>
      <c r="T414" s="11"/>
      <c r="U414" s="15"/>
      <c r="V414" s="11"/>
      <c r="W414" s="11"/>
      <c r="X414" s="11"/>
      <c r="Y414" s="11"/>
      <c r="Z414" s="11"/>
    </row>
    <row r="415">
      <c r="A415" s="18"/>
      <c r="B415" s="11"/>
      <c r="C415" s="11"/>
      <c r="D415" s="11"/>
      <c r="E415" s="11"/>
      <c r="F415" s="11"/>
      <c r="G415" s="11"/>
      <c r="H415" s="11"/>
      <c r="I415" s="11"/>
      <c r="J415" s="11"/>
      <c r="K415" s="11"/>
      <c r="L415" s="15"/>
      <c r="M415" s="15"/>
      <c r="N415" s="15"/>
      <c r="O415" s="15"/>
      <c r="P415" s="15"/>
      <c r="Q415" s="11"/>
      <c r="R415" s="11"/>
      <c r="S415" s="11"/>
      <c r="T415" s="11"/>
      <c r="U415" s="15"/>
      <c r="V415" s="11"/>
      <c r="W415" s="11"/>
      <c r="X415" s="11"/>
      <c r="Y415" s="11"/>
      <c r="Z415" s="11"/>
    </row>
    <row r="416">
      <c r="A416" s="18"/>
      <c r="B416" s="11"/>
      <c r="C416" s="11"/>
      <c r="D416" s="11"/>
      <c r="E416" s="11"/>
      <c r="F416" s="11"/>
      <c r="G416" s="11"/>
      <c r="H416" s="11"/>
      <c r="I416" s="11"/>
      <c r="J416" s="11"/>
      <c r="K416" s="11"/>
      <c r="L416" s="15"/>
      <c r="M416" s="15"/>
      <c r="N416" s="15"/>
      <c r="O416" s="15"/>
      <c r="P416" s="15"/>
      <c r="Q416" s="11"/>
      <c r="R416" s="11"/>
      <c r="S416" s="11"/>
      <c r="T416" s="11"/>
      <c r="U416" s="15"/>
      <c r="V416" s="11"/>
      <c r="W416" s="11"/>
      <c r="X416" s="11"/>
      <c r="Y416" s="11"/>
      <c r="Z416" s="11"/>
    </row>
    <row r="417">
      <c r="A417" s="18"/>
      <c r="B417" s="11"/>
      <c r="C417" s="11"/>
      <c r="D417" s="11"/>
      <c r="E417" s="11"/>
      <c r="F417" s="11"/>
      <c r="G417" s="11"/>
      <c r="H417" s="11"/>
      <c r="I417" s="11"/>
      <c r="J417" s="11"/>
      <c r="K417" s="11"/>
      <c r="L417" s="15"/>
      <c r="M417" s="15"/>
      <c r="N417" s="15"/>
      <c r="O417" s="15"/>
      <c r="P417" s="15"/>
      <c r="Q417" s="11"/>
      <c r="R417" s="11"/>
      <c r="S417" s="11"/>
      <c r="T417" s="11"/>
      <c r="U417" s="15"/>
      <c r="V417" s="11"/>
      <c r="W417" s="11"/>
      <c r="X417" s="11"/>
      <c r="Y417" s="11"/>
      <c r="Z417" s="11"/>
    </row>
    <row r="418">
      <c r="A418" s="18"/>
      <c r="B418" s="11"/>
      <c r="C418" s="11"/>
      <c r="D418" s="11"/>
      <c r="E418" s="11"/>
      <c r="F418" s="11"/>
      <c r="G418" s="11"/>
      <c r="H418" s="11"/>
      <c r="I418" s="11"/>
      <c r="J418" s="11"/>
      <c r="K418" s="11"/>
      <c r="L418" s="15"/>
      <c r="M418" s="15"/>
      <c r="N418" s="15"/>
      <c r="O418" s="15"/>
      <c r="P418" s="15"/>
      <c r="Q418" s="11"/>
      <c r="R418" s="11"/>
      <c r="S418" s="11"/>
      <c r="T418" s="11"/>
      <c r="U418" s="15"/>
      <c r="V418" s="11"/>
      <c r="W418" s="11"/>
      <c r="X418" s="11"/>
      <c r="Y418" s="11"/>
      <c r="Z418" s="11"/>
    </row>
    <row r="419">
      <c r="A419" s="18"/>
      <c r="B419" s="11"/>
      <c r="C419" s="11"/>
      <c r="D419" s="11"/>
      <c r="E419" s="11"/>
      <c r="F419" s="11"/>
      <c r="G419" s="11"/>
      <c r="H419" s="11"/>
      <c r="I419" s="11"/>
      <c r="J419" s="11"/>
      <c r="K419" s="11"/>
      <c r="L419" s="15"/>
      <c r="M419" s="15"/>
      <c r="N419" s="15"/>
      <c r="O419" s="15"/>
      <c r="P419" s="15"/>
      <c r="Q419" s="11"/>
      <c r="R419" s="11"/>
      <c r="S419" s="11"/>
      <c r="T419" s="11"/>
      <c r="U419" s="15"/>
      <c r="V419" s="11"/>
      <c r="W419" s="11"/>
      <c r="X419" s="11"/>
      <c r="Y419" s="11"/>
      <c r="Z419" s="11"/>
    </row>
    <row r="420">
      <c r="A420" s="18"/>
      <c r="B420" s="11"/>
      <c r="C420" s="11"/>
      <c r="D420" s="11"/>
      <c r="E420" s="11"/>
      <c r="F420" s="11"/>
      <c r="G420" s="11"/>
      <c r="H420" s="11"/>
      <c r="I420" s="11"/>
      <c r="J420" s="11"/>
      <c r="K420" s="11"/>
      <c r="L420" s="15"/>
      <c r="M420" s="15"/>
      <c r="N420" s="15"/>
      <c r="O420" s="15"/>
      <c r="P420" s="15"/>
      <c r="Q420" s="11"/>
      <c r="R420" s="11"/>
      <c r="S420" s="11"/>
      <c r="T420" s="11"/>
      <c r="U420" s="15"/>
      <c r="V420" s="11"/>
      <c r="W420" s="11"/>
      <c r="X420" s="11"/>
      <c r="Y420" s="11"/>
      <c r="Z420" s="11"/>
    </row>
    <row r="421">
      <c r="A421" s="18"/>
      <c r="B421" s="11"/>
      <c r="C421" s="11"/>
      <c r="D421" s="11"/>
      <c r="E421" s="11"/>
      <c r="F421" s="11"/>
      <c r="G421" s="11"/>
      <c r="H421" s="11"/>
      <c r="I421" s="11"/>
      <c r="J421" s="11"/>
      <c r="K421" s="11"/>
      <c r="L421" s="15"/>
      <c r="M421" s="15"/>
      <c r="N421" s="15"/>
      <c r="O421" s="15"/>
      <c r="P421" s="15"/>
      <c r="Q421" s="11"/>
      <c r="R421" s="11"/>
      <c r="S421" s="11"/>
      <c r="T421" s="11"/>
      <c r="U421" s="15"/>
      <c r="V421" s="11"/>
      <c r="W421" s="11"/>
      <c r="X421" s="11"/>
      <c r="Y421" s="11"/>
      <c r="Z421" s="11"/>
    </row>
    <row r="422">
      <c r="A422" s="18"/>
      <c r="B422" s="11"/>
      <c r="C422" s="11"/>
      <c r="D422" s="11"/>
      <c r="E422" s="11"/>
      <c r="F422" s="11"/>
      <c r="G422" s="11"/>
      <c r="H422" s="11"/>
      <c r="I422" s="11"/>
      <c r="J422" s="11"/>
      <c r="K422" s="11"/>
      <c r="L422" s="15"/>
      <c r="M422" s="15"/>
      <c r="N422" s="15"/>
      <c r="O422" s="15"/>
      <c r="P422" s="15"/>
      <c r="Q422" s="11"/>
      <c r="R422" s="11"/>
      <c r="S422" s="11"/>
      <c r="T422" s="11"/>
      <c r="U422" s="15"/>
      <c r="V422" s="11"/>
      <c r="W422" s="11"/>
      <c r="X422" s="11"/>
      <c r="Y422" s="11"/>
      <c r="Z422" s="11"/>
    </row>
    <row r="423">
      <c r="A423" s="18"/>
      <c r="B423" s="11"/>
      <c r="C423" s="11"/>
      <c r="D423" s="11"/>
      <c r="E423" s="11"/>
      <c r="F423" s="11"/>
      <c r="G423" s="11"/>
      <c r="H423" s="11"/>
      <c r="I423" s="11"/>
      <c r="J423" s="11"/>
      <c r="K423" s="11"/>
      <c r="L423" s="15"/>
      <c r="M423" s="15"/>
      <c r="N423" s="15"/>
      <c r="O423" s="15"/>
      <c r="P423" s="15"/>
      <c r="Q423" s="11"/>
      <c r="R423" s="11"/>
      <c r="S423" s="11"/>
      <c r="T423" s="11"/>
      <c r="U423" s="15"/>
      <c r="V423" s="11"/>
      <c r="W423" s="11"/>
      <c r="X423" s="11"/>
      <c r="Y423" s="11"/>
      <c r="Z423" s="11"/>
    </row>
    <row r="424">
      <c r="A424" s="18"/>
      <c r="B424" s="11"/>
      <c r="C424" s="11"/>
      <c r="D424" s="11"/>
      <c r="E424" s="11"/>
      <c r="F424" s="11"/>
      <c r="G424" s="11"/>
      <c r="H424" s="11"/>
      <c r="I424" s="11"/>
      <c r="J424" s="11"/>
      <c r="K424" s="11"/>
      <c r="L424" s="15"/>
      <c r="M424" s="15"/>
      <c r="N424" s="15"/>
      <c r="O424" s="15"/>
      <c r="P424" s="15"/>
      <c r="Q424" s="11"/>
      <c r="R424" s="11"/>
      <c r="S424" s="11"/>
      <c r="T424" s="11"/>
      <c r="U424" s="15"/>
      <c r="V424" s="11"/>
      <c r="W424" s="11"/>
      <c r="X424" s="11"/>
      <c r="Y424" s="11"/>
      <c r="Z424" s="11"/>
    </row>
    <row r="425">
      <c r="A425" s="18"/>
      <c r="B425" s="11"/>
      <c r="C425" s="11"/>
      <c r="D425" s="11"/>
      <c r="E425" s="11"/>
      <c r="F425" s="11"/>
      <c r="G425" s="11"/>
      <c r="H425" s="11"/>
      <c r="I425" s="11"/>
      <c r="J425" s="11"/>
      <c r="K425" s="11"/>
      <c r="L425" s="15"/>
      <c r="M425" s="15"/>
      <c r="N425" s="15"/>
      <c r="O425" s="15"/>
      <c r="P425" s="15"/>
      <c r="Q425" s="11"/>
      <c r="R425" s="11"/>
      <c r="S425" s="11"/>
      <c r="T425" s="11"/>
      <c r="U425" s="15"/>
      <c r="V425" s="11"/>
      <c r="W425" s="11"/>
      <c r="X425" s="11"/>
      <c r="Y425" s="11"/>
      <c r="Z425" s="11"/>
    </row>
    <row r="426">
      <c r="A426" s="18"/>
      <c r="B426" s="11"/>
      <c r="C426" s="11"/>
      <c r="D426" s="11"/>
      <c r="E426" s="11"/>
      <c r="F426" s="11"/>
      <c r="G426" s="11"/>
      <c r="H426" s="11"/>
      <c r="I426" s="11"/>
      <c r="J426" s="11"/>
      <c r="K426" s="11"/>
      <c r="L426" s="15"/>
      <c r="M426" s="15"/>
      <c r="N426" s="15"/>
      <c r="O426" s="15"/>
      <c r="P426" s="15"/>
      <c r="Q426" s="11"/>
      <c r="R426" s="11"/>
      <c r="S426" s="11"/>
      <c r="T426" s="11"/>
      <c r="U426" s="15"/>
      <c r="V426" s="11"/>
      <c r="W426" s="11"/>
      <c r="X426" s="11"/>
      <c r="Y426" s="11"/>
      <c r="Z426" s="11"/>
    </row>
    <row r="427">
      <c r="A427" s="18"/>
      <c r="B427" s="11"/>
      <c r="C427" s="11"/>
      <c r="D427" s="11"/>
      <c r="E427" s="11"/>
      <c r="F427" s="11"/>
      <c r="G427" s="11"/>
      <c r="H427" s="11"/>
      <c r="I427" s="11"/>
      <c r="J427" s="11"/>
      <c r="K427" s="11"/>
      <c r="L427" s="15"/>
      <c r="M427" s="15"/>
      <c r="N427" s="15"/>
      <c r="O427" s="15"/>
      <c r="P427" s="15"/>
      <c r="Q427" s="11"/>
      <c r="R427" s="11"/>
      <c r="S427" s="11"/>
      <c r="T427" s="11"/>
      <c r="U427" s="15"/>
      <c r="V427" s="11"/>
      <c r="W427" s="11"/>
      <c r="X427" s="11"/>
      <c r="Y427" s="11"/>
      <c r="Z427" s="11"/>
    </row>
    <row r="428">
      <c r="A428" s="18"/>
      <c r="B428" s="11"/>
      <c r="C428" s="11"/>
      <c r="D428" s="11"/>
      <c r="E428" s="11"/>
      <c r="F428" s="11"/>
      <c r="G428" s="11"/>
      <c r="H428" s="11"/>
      <c r="I428" s="11"/>
      <c r="J428" s="11"/>
      <c r="K428" s="11"/>
      <c r="L428" s="15"/>
      <c r="M428" s="15"/>
      <c r="N428" s="15"/>
      <c r="O428" s="15"/>
      <c r="P428" s="15"/>
      <c r="Q428" s="11"/>
      <c r="R428" s="11"/>
      <c r="S428" s="11"/>
      <c r="T428" s="11"/>
      <c r="U428" s="15"/>
      <c r="V428" s="11"/>
      <c r="W428" s="11"/>
      <c r="X428" s="11"/>
      <c r="Y428" s="11"/>
      <c r="Z428" s="11"/>
    </row>
    <row r="429">
      <c r="A429" s="18"/>
      <c r="B429" s="11"/>
      <c r="C429" s="11"/>
      <c r="D429" s="11"/>
      <c r="E429" s="11"/>
      <c r="F429" s="11"/>
      <c r="G429" s="11"/>
      <c r="H429" s="11"/>
      <c r="I429" s="11"/>
      <c r="J429" s="11"/>
      <c r="K429" s="11"/>
      <c r="L429" s="15"/>
      <c r="M429" s="15"/>
      <c r="N429" s="15"/>
      <c r="O429" s="15"/>
      <c r="P429" s="15"/>
      <c r="Q429" s="11"/>
      <c r="R429" s="11"/>
      <c r="S429" s="11"/>
      <c r="T429" s="11"/>
      <c r="U429" s="15"/>
      <c r="V429" s="11"/>
      <c r="W429" s="11"/>
      <c r="X429" s="11"/>
      <c r="Y429" s="11"/>
      <c r="Z429" s="11"/>
    </row>
    <row r="430">
      <c r="A430" s="18"/>
      <c r="B430" s="11"/>
      <c r="C430" s="11"/>
      <c r="D430" s="11"/>
      <c r="E430" s="11"/>
      <c r="F430" s="11"/>
      <c r="G430" s="11"/>
      <c r="H430" s="11"/>
      <c r="I430" s="11"/>
      <c r="J430" s="11"/>
      <c r="K430" s="11"/>
      <c r="L430" s="15"/>
      <c r="M430" s="15"/>
      <c r="N430" s="15"/>
      <c r="O430" s="15"/>
      <c r="P430" s="15"/>
      <c r="Q430" s="11"/>
      <c r="R430" s="11"/>
      <c r="S430" s="11"/>
      <c r="T430" s="11"/>
      <c r="U430" s="15"/>
      <c r="V430" s="11"/>
      <c r="W430" s="11"/>
      <c r="X430" s="11"/>
      <c r="Y430" s="11"/>
      <c r="Z430" s="11"/>
    </row>
    <row r="431">
      <c r="A431" s="18"/>
      <c r="B431" s="11"/>
      <c r="C431" s="11"/>
      <c r="D431" s="11"/>
      <c r="E431" s="11"/>
      <c r="F431" s="11"/>
      <c r="G431" s="11"/>
      <c r="H431" s="11"/>
      <c r="I431" s="11"/>
      <c r="J431" s="11"/>
      <c r="K431" s="11"/>
      <c r="L431" s="15"/>
      <c r="M431" s="15"/>
      <c r="N431" s="15"/>
      <c r="O431" s="15"/>
      <c r="P431" s="15"/>
      <c r="Q431" s="11"/>
      <c r="R431" s="11"/>
      <c r="S431" s="11"/>
      <c r="T431" s="11"/>
      <c r="U431" s="15"/>
      <c r="V431" s="11"/>
      <c r="W431" s="11"/>
      <c r="X431" s="11"/>
      <c r="Y431" s="11"/>
      <c r="Z431" s="11"/>
    </row>
    <row r="432">
      <c r="A432" s="18"/>
      <c r="B432" s="11"/>
      <c r="C432" s="11"/>
      <c r="D432" s="11"/>
      <c r="E432" s="11"/>
      <c r="F432" s="11"/>
      <c r="G432" s="11"/>
      <c r="H432" s="11"/>
      <c r="I432" s="11"/>
      <c r="J432" s="11"/>
      <c r="K432" s="11"/>
      <c r="L432" s="15"/>
      <c r="M432" s="15"/>
      <c r="N432" s="15"/>
      <c r="O432" s="15"/>
      <c r="P432" s="15"/>
      <c r="Q432" s="11"/>
      <c r="R432" s="11"/>
      <c r="S432" s="11"/>
      <c r="T432" s="11"/>
      <c r="U432" s="15"/>
      <c r="V432" s="11"/>
      <c r="W432" s="11"/>
      <c r="X432" s="11"/>
      <c r="Y432" s="11"/>
      <c r="Z432" s="11"/>
    </row>
    <row r="433">
      <c r="A433" s="18"/>
      <c r="B433" s="11"/>
      <c r="C433" s="11"/>
      <c r="D433" s="11"/>
      <c r="E433" s="11"/>
      <c r="F433" s="11"/>
      <c r="G433" s="11"/>
      <c r="H433" s="11"/>
      <c r="I433" s="11"/>
      <c r="J433" s="11"/>
      <c r="K433" s="11"/>
      <c r="L433" s="15"/>
      <c r="M433" s="15"/>
      <c r="N433" s="15"/>
      <c r="O433" s="15"/>
      <c r="P433" s="15"/>
      <c r="Q433" s="11"/>
      <c r="R433" s="11"/>
      <c r="S433" s="11"/>
      <c r="T433" s="11"/>
      <c r="U433" s="15"/>
      <c r="V433" s="11"/>
      <c r="W433" s="11"/>
      <c r="X433" s="11"/>
      <c r="Y433" s="11"/>
      <c r="Z433" s="11"/>
    </row>
    <row r="434">
      <c r="A434" s="18"/>
      <c r="B434" s="11"/>
      <c r="C434" s="11"/>
      <c r="D434" s="11"/>
      <c r="E434" s="11"/>
      <c r="F434" s="11"/>
      <c r="G434" s="11"/>
      <c r="H434" s="11"/>
      <c r="I434" s="11"/>
      <c r="J434" s="11"/>
      <c r="K434" s="11"/>
      <c r="L434" s="15"/>
      <c r="M434" s="15"/>
      <c r="N434" s="15"/>
      <c r="O434" s="15"/>
      <c r="P434" s="15"/>
      <c r="Q434" s="11"/>
      <c r="R434" s="11"/>
      <c r="S434" s="11"/>
      <c r="T434" s="11"/>
      <c r="U434" s="15"/>
      <c r="V434" s="11"/>
      <c r="W434" s="11"/>
      <c r="X434" s="11"/>
      <c r="Y434" s="11"/>
      <c r="Z434" s="11"/>
    </row>
    <row r="435">
      <c r="A435" s="18"/>
      <c r="B435" s="11"/>
      <c r="C435" s="11"/>
      <c r="D435" s="11"/>
      <c r="E435" s="11"/>
      <c r="F435" s="11"/>
      <c r="G435" s="11"/>
      <c r="H435" s="11"/>
      <c r="I435" s="11"/>
      <c r="J435" s="11"/>
      <c r="K435" s="11"/>
      <c r="L435" s="15"/>
      <c r="M435" s="15"/>
      <c r="N435" s="15"/>
      <c r="O435" s="15"/>
      <c r="P435" s="15"/>
      <c r="Q435" s="11"/>
      <c r="R435" s="11"/>
      <c r="S435" s="11"/>
      <c r="T435" s="11"/>
      <c r="U435" s="15"/>
      <c r="V435" s="11"/>
      <c r="W435" s="11"/>
      <c r="X435" s="11"/>
      <c r="Y435" s="11"/>
      <c r="Z435" s="11"/>
    </row>
    <row r="436">
      <c r="A436" s="18"/>
      <c r="B436" s="11"/>
      <c r="C436" s="11"/>
      <c r="D436" s="11"/>
      <c r="E436" s="11"/>
      <c r="F436" s="11"/>
      <c r="G436" s="11"/>
      <c r="H436" s="11"/>
      <c r="I436" s="11"/>
      <c r="J436" s="11"/>
      <c r="K436" s="11"/>
      <c r="L436" s="15"/>
      <c r="M436" s="15"/>
      <c r="N436" s="15"/>
      <c r="O436" s="15"/>
      <c r="P436" s="15"/>
      <c r="Q436" s="11"/>
      <c r="R436" s="11"/>
      <c r="S436" s="11"/>
      <c r="T436" s="11"/>
      <c r="U436" s="15"/>
      <c r="V436" s="11"/>
      <c r="W436" s="11"/>
      <c r="X436" s="11"/>
      <c r="Y436" s="11"/>
      <c r="Z436" s="11"/>
    </row>
    <row r="437">
      <c r="A437" s="18"/>
      <c r="B437" s="11"/>
      <c r="C437" s="11"/>
      <c r="D437" s="11"/>
      <c r="E437" s="11"/>
      <c r="F437" s="11"/>
      <c r="G437" s="11"/>
      <c r="H437" s="11"/>
      <c r="I437" s="11"/>
      <c r="J437" s="11"/>
      <c r="K437" s="11"/>
      <c r="L437" s="15"/>
      <c r="M437" s="15"/>
      <c r="N437" s="15"/>
      <c r="O437" s="15"/>
      <c r="P437" s="15"/>
      <c r="Q437" s="11"/>
      <c r="R437" s="11"/>
      <c r="S437" s="11"/>
      <c r="T437" s="11"/>
      <c r="U437" s="15"/>
      <c r="V437" s="11"/>
      <c r="W437" s="11"/>
      <c r="X437" s="11"/>
      <c r="Y437" s="11"/>
      <c r="Z437" s="11"/>
    </row>
    <row r="438">
      <c r="A438" s="18"/>
      <c r="B438" s="11"/>
      <c r="C438" s="11"/>
      <c r="D438" s="11"/>
      <c r="E438" s="11"/>
      <c r="F438" s="11"/>
      <c r="G438" s="11"/>
      <c r="H438" s="11"/>
      <c r="I438" s="11"/>
      <c r="J438" s="11"/>
      <c r="K438" s="11"/>
      <c r="L438" s="15"/>
      <c r="M438" s="15"/>
      <c r="N438" s="15"/>
      <c r="O438" s="15"/>
      <c r="P438" s="15"/>
      <c r="Q438" s="11"/>
      <c r="R438" s="11"/>
      <c r="S438" s="11"/>
      <c r="T438" s="11"/>
      <c r="U438" s="15"/>
      <c r="V438" s="11"/>
      <c r="W438" s="11"/>
      <c r="X438" s="11"/>
      <c r="Y438" s="11"/>
      <c r="Z438" s="11"/>
    </row>
    <row r="439">
      <c r="A439" s="18"/>
      <c r="B439" s="11"/>
      <c r="C439" s="11"/>
      <c r="D439" s="11"/>
      <c r="E439" s="11"/>
      <c r="F439" s="11"/>
      <c r="G439" s="11"/>
      <c r="H439" s="11"/>
      <c r="I439" s="11"/>
      <c r="J439" s="11"/>
      <c r="K439" s="11"/>
      <c r="L439" s="15"/>
      <c r="M439" s="15"/>
      <c r="N439" s="15"/>
      <c r="O439" s="15"/>
      <c r="P439" s="15"/>
      <c r="Q439" s="11"/>
      <c r="R439" s="11"/>
      <c r="S439" s="11"/>
      <c r="T439" s="11"/>
      <c r="U439" s="15"/>
      <c r="V439" s="11"/>
      <c r="W439" s="11"/>
      <c r="X439" s="11"/>
      <c r="Y439" s="11"/>
      <c r="Z439" s="11"/>
    </row>
    <row r="440">
      <c r="A440" s="18"/>
      <c r="B440" s="11"/>
      <c r="C440" s="11"/>
      <c r="D440" s="11"/>
      <c r="E440" s="11"/>
      <c r="F440" s="11"/>
      <c r="G440" s="11"/>
      <c r="H440" s="11"/>
      <c r="I440" s="11"/>
      <c r="J440" s="11"/>
      <c r="K440" s="11"/>
      <c r="L440" s="15"/>
      <c r="M440" s="15"/>
      <c r="N440" s="15"/>
      <c r="O440" s="15"/>
      <c r="P440" s="15"/>
      <c r="Q440" s="11"/>
      <c r="R440" s="11"/>
      <c r="S440" s="11"/>
      <c r="T440" s="11"/>
      <c r="U440" s="15"/>
      <c r="V440" s="11"/>
      <c r="W440" s="11"/>
      <c r="X440" s="11"/>
      <c r="Y440" s="11"/>
      <c r="Z440" s="11"/>
    </row>
    <row r="441">
      <c r="A441" s="18"/>
      <c r="B441" s="11"/>
      <c r="C441" s="11"/>
      <c r="D441" s="11"/>
      <c r="E441" s="11"/>
      <c r="F441" s="11"/>
      <c r="G441" s="11"/>
      <c r="H441" s="11"/>
      <c r="I441" s="11"/>
      <c r="J441" s="11"/>
      <c r="K441" s="11"/>
      <c r="L441" s="15"/>
      <c r="M441" s="15"/>
      <c r="N441" s="15"/>
      <c r="O441" s="15"/>
      <c r="P441" s="15"/>
      <c r="Q441" s="11"/>
      <c r="R441" s="11"/>
      <c r="S441" s="11"/>
      <c r="T441" s="11"/>
      <c r="U441" s="15"/>
      <c r="V441" s="11"/>
      <c r="W441" s="11"/>
      <c r="X441" s="11"/>
      <c r="Y441" s="11"/>
      <c r="Z441" s="11"/>
    </row>
    <row r="442">
      <c r="A442" s="18"/>
      <c r="B442" s="11"/>
      <c r="C442" s="11"/>
      <c r="D442" s="11"/>
      <c r="E442" s="11"/>
      <c r="F442" s="11"/>
      <c r="G442" s="11"/>
      <c r="H442" s="11"/>
      <c r="I442" s="11"/>
      <c r="J442" s="11"/>
      <c r="K442" s="11"/>
      <c r="L442" s="15"/>
      <c r="M442" s="15"/>
      <c r="N442" s="15"/>
      <c r="O442" s="15"/>
      <c r="P442" s="15"/>
      <c r="Q442" s="11"/>
      <c r="R442" s="11"/>
      <c r="S442" s="11"/>
      <c r="T442" s="11"/>
      <c r="U442" s="15"/>
      <c r="V442" s="11"/>
      <c r="W442" s="11"/>
      <c r="X442" s="11"/>
      <c r="Y442" s="11"/>
      <c r="Z442" s="11"/>
    </row>
    <row r="443">
      <c r="A443" s="18"/>
      <c r="B443" s="11"/>
      <c r="C443" s="11"/>
      <c r="D443" s="11"/>
      <c r="E443" s="11"/>
      <c r="F443" s="11"/>
      <c r="G443" s="11"/>
      <c r="H443" s="11"/>
      <c r="I443" s="11"/>
      <c r="J443" s="11"/>
      <c r="K443" s="11"/>
      <c r="L443" s="15"/>
      <c r="M443" s="15"/>
      <c r="N443" s="15"/>
      <c r="O443" s="15"/>
      <c r="P443" s="15"/>
      <c r="Q443" s="11"/>
      <c r="R443" s="11"/>
      <c r="S443" s="11"/>
      <c r="T443" s="11"/>
      <c r="U443" s="15"/>
      <c r="V443" s="11"/>
      <c r="W443" s="11"/>
      <c r="X443" s="11"/>
      <c r="Y443" s="11"/>
      <c r="Z443" s="11"/>
    </row>
    <row r="444">
      <c r="A444" s="18"/>
      <c r="B444" s="11"/>
      <c r="C444" s="11"/>
      <c r="D444" s="11"/>
      <c r="E444" s="11"/>
      <c r="F444" s="11"/>
      <c r="G444" s="11"/>
      <c r="H444" s="11"/>
      <c r="I444" s="11"/>
      <c r="J444" s="11"/>
      <c r="K444" s="11"/>
      <c r="L444" s="15"/>
      <c r="M444" s="15"/>
      <c r="N444" s="15"/>
      <c r="O444" s="15"/>
      <c r="P444" s="15"/>
      <c r="Q444" s="11"/>
      <c r="R444" s="11"/>
      <c r="S444" s="11"/>
      <c r="T444" s="11"/>
      <c r="U444" s="15"/>
      <c r="V444" s="11"/>
      <c r="W444" s="11"/>
      <c r="X444" s="11"/>
      <c r="Y444" s="11"/>
      <c r="Z444" s="11"/>
    </row>
    <row r="445">
      <c r="A445" s="18"/>
      <c r="B445" s="11"/>
      <c r="C445" s="11"/>
      <c r="D445" s="11"/>
      <c r="E445" s="11"/>
      <c r="F445" s="11"/>
      <c r="G445" s="11"/>
      <c r="H445" s="11"/>
      <c r="I445" s="11"/>
      <c r="J445" s="11"/>
      <c r="K445" s="11"/>
      <c r="L445" s="15"/>
      <c r="M445" s="15"/>
      <c r="N445" s="15"/>
      <c r="O445" s="15"/>
      <c r="P445" s="15"/>
      <c r="Q445" s="11"/>
      <c r="R445" s="11"/>
      <c r="S445" s="11"/>
      <c r="T445" s="11"/>
      <c r="U445" s="15"/>
      <c r="V445" s="11"/>
      <c r="W445" s="11"/>
      <c r="X445" s="11"/>
      <c r="Y445" s="11"/>
      <c r="Z445" s="11"/>
    </row>
    <row r="446">
      <c r="A446" s="18"/>
      <c r="B446" s="11"/>
      <c r="C446" s="11"/>
      <c r="D446" s="11"/>
      <c r="E446" s="11"/>
      <c r="F446" s="11"/>
      <c r="G446" s="11"/>
      <c r="H446" s="11"/>
      <c r="I446" s="11"/>
      <c r="J446" s="11"/>
      <c r="K446" s="11"/>
      <c r="L446" s="15"/>
      <c r="M446" s="15"/>
      <c r="N446" s="15"/>
      <c r="O446" s="15"/>
      <c r="P446" s="15"/>
      <c r="Q446" s="11"/>
      <c r="R446" s="11"/>
      <c r="S446" s="11"/>
      <c r="T446" s="11"/>
      <c r="U446" s="15"/>
      <c r="V446" s="11"/>
      <c r="W446" s="11"/>
      <c r="X446" s="11"/>
      <c r="Y446" s="11"/>
      <c r="Z446" s="11"/>
    </row>
    <row r="447">
      <c r="A447" s="18"/>
      <c r="B447" s="11"/>
      <c r="C447" s="11"/>
      <c r="D447" s="11"/>
      <c r="E447" s="11"/>
      <c r="F447" s="11"/>
      <c r="G447" s="11"/>
      <c r="H447" s="11"/>
      <c r="I447" s="11"/>
      <c r="J447" s="11"/>
      <c r="K447" s="11"/>
      <c r="L447" s="15"/>
      <c r="M447" s="15"/>
      <c r="N447" s="15"/>
      <c r="O447" s="15"/>
      <c r="P447" s="15"/>
      <c r="Q447" s="11"/>
      <c r="R447" s="11"/>
      <c r="S447" s="11"/>
      <c r="T447" s="11"/>
      <c r="U447" s="15"/>
      <c r="V447" s="11"/>
      <c r="W447" s="11"/>
      <c r="X447" s="11"/>
      <c r="Y447" s="11"/>
      <c r="Z447" s="11"/>
    </row>
    <row r="448">
      <c r="A448" s="18"/>
      <c r="B448" s="11"/>
      <c r="C448" s="11"/>
      <c r="D448" s="11"/>
      <c r="E448" s="11"/>
      <c r="F448" s="11"/>
      <c r="G448" s="11"/>
      <c r="H448" s="11"/>
      <c r="I448" s="11"/>
      <c r="J448" s="11"/>
      <c r="K448" s="11"/>
      <c r="L448" s="15"/>
      <c r="M448" s="15"/>
      <c r="N448" s="15"/>
      <c r="O448" s="15"/>
      <c r="P448" s="15"/>
      <c r="Q448" s="11"/>
      <c r="R448" s="11"/>
      <c r="S448" s="11"/>
      <c r="T448" s="11"/>
      <c r="U448" s="15"/>
      <c r="V448" s="11"/>
      <c r="W448" s="11"/>
      <c r="X448" s="11"/>
      <c r="Y448" s="11"/>
      <c r="Z448" s="11"/>
    </row>
    <row r="449">
      <c r="A449" s="18"/>
      <c r="B449" s="11"/>
      <c r="C449" s="11"/>
      <c r="D449" s="11"/>
      <c r="E449" s="11"/>
      <c r="F449" s="11"/>
      <c r="G449" s="11"/>
      <c r="H449" s="11"/>
      <c r="I449" s="11"/>
      <c r="J449" s="11"/>
      <c r="K449" s="11"/>
      <c r="L449" s="15"/>
      <c r="M449" s="15"/>
      <c r="N449" s="15"/>
      <c r="O449" s="15"/>
      <c r="P449" s="15"/>
      <c r="Q449" s="11"/>
      <c r="R449" s="11"/>
      <c r="S449" s="11"/>
      <c r="T449" s="11"/>
      <c r="U449" s="15"/>
      <c r="V449" s="11"/>
      <c r="W449" s="11"/>
      <c r="X449" s="11"/>
      <c r="Y449" s="11"/>
      <c r="Z449" s="11"/>
    </row>
    <row r="450">
      <c r="A450" s="18"/>
      <c r="B450" s="11"/>
      <c r="C450" s="11"/>
      <c r="D450" s="11"/>
      <c r="E450" s="11"/>
      <c r="F450" s="11"/>
      <c r="G450" s="11"/>
      <c r="H450" s="11"/>
      <c r="I450" s="11"/>
      <c r="J450" s="11"/>
      <c r="K450" s="11"/>
      <c r="L450" s="15"/>
      <c r="M450" s="15"/>
      <c r="N450" s="15"/>
      <c r="O450" s="15"/>
      <c r="P450" s="15"/>
      <c r="Q450" s="11"/>
      <c r="R450" s="11"/>
      <c r="S450" s="11"/>
      <c r="T450" s="11"/>
      <c r="U450" s="15"/>
      <c r="V450" s="11"/>
      <c r="W450" s="11"/>
      <c r="X450" s="11"/>
      <c r="Y450" s="11"/>
      <c r="Z450" s="11"/>
    </row>
    <row r="451">
      <c r="A451" s="18"/>
      <c r="B451" s="11"/>
      <c r="C451" s="11"/>
      <c r="D451" s="11"/>
      <c r="E451" s="11"/>
      <c r="F451" s="11"/>
      <c r="G451" s="11"/>
      <c r="H451" s="11"/>
      <c r="I451" s="11"/>
      <c r="J451" s="11"/>
      <c r="K451" s="11"/>
      <c r="L451" s="15"/>
      <c r="M451" s="15"/>
      <c r="N451" s="15"/>
      <c r="O451" s="15"/>
      <c r="P451" s="15"/>
      <c r="Q451" s="11"/>
      <c r="R451" s="11"/>
      <c r="S451" s="11"/>
      <c r="T451" s="11"/>
      <c r="U451" s="15"/>
      <c r="V451" s="11"/>
      <c r="W451" s="11"/>
      <c r="X451" s="11"/>
      <c r="Y451" s="11"/>
      <c r="Z451" s="11"/>
    </row>
    <row r="452">
      <c r="A452" s="18"/>
      <c r="B452" s="11"/>
      <c r="C452" s="11"/>
      <c r="D452" s="11"/>
      <c r="E452" s="11"/>
      <c r="F452" s="11"/>
      <c r="G452" s="11"/>
      <c r="H452" s="11"/>
      <c r="I452" s="11"/>
      <c r="J452" s="11"/>
      <c r="K452" s="11"/>
      <c r="L452" s="15"/>
      <c r="M452" s="15"/>
      <c r="N452" s="15"/>
      <c r="O452" s="15"/>
      <c r="P452" s="15"/>
      <c r="Q452" s="11"/>
      <c r="R452" s="11"/>
      <c r="S452" s="11"/>
      <c r="T452" s="11"/>
      <c r="U452" s="15"/>
      <c r="V452" s="11"/>
      <c r="W452" s="11"/>
      <c r="X452" s="11"/>
      <c r="Y452" s="11"/>
      <c r="Z452" s="11"/>
    </row>
    <row r="453">
      <c r="A453" s="18"/>
      <c r="B453" s="11"/>
      <c r="C453" s="11"/>
      <c r="D453" s="11"/>
      <c r="E453" s="11"/>
      <c r="F453" s="11"/>
      <c r="G453" s="11"/>
      <c r="H453" s="11"/>
      <c r="I453" s="11"/>
      <c r="J453" s="11"/>
      <c r="K453" s="11"/>
      <c r="L453" s="15"/>
      <c r="M453" s="15"/>
      <c r="N453" s="15"/>
      <c r="O453" s="15"/>
      <c r="P453" s="15"/>
      <c r="Q453" s="11"/>
      <c r="R453" s="11"/>
      <c r="S453" s="11"/>
      <c r="T453" s="11"/>
      <c r="U453" s="15"/>
      <c r="V453" s="11"/>
      <c r="W453" s="11"/>
      <c r="X453" s="11"/>
      <c r="Y453" s="11"/>
      <c r="Z453" s="11"/>
    </row>
    <row r="454">
      <c r="A454" s="18"/>
      <c r="B454" s="11"/>
      <c r="C454" s="11"/>
      <c r="D454" s="11"/>
      <c r="E454" s="11"/>
      <c r="F454" s="11"/>
      <c r="G454" s="11"/>
      <c r="H454" s="11"/>
      <c r="I454" s="11"/>
      <c r="J454" s="11"/>
      <c r="K454" s="11"/>
      <c r="L454" s="15"/>
      <c r="M454" s="15"/>
      <c r="N454" s="15"/>
      <c r="O454" s="15"/>
      <c r="P454" s="15"/>
      <c r="Q454" s="11"/>
      <c r="R454" s="11"/>
      <c r="S454" s="11"/>
      <c r="T454" s="11"/>
      <c r="U454" s="15"/>
      <c r="V454" s="11"/>
      <c r="W454" s="11"/>
      <c r="X454" s="11"/>
      <c r="Y454" s="11"/>
      <c r="Z454" s="11"/>
    </row>
    <row r="455">
      <c r="A455" s="18"/>
      <c r="B455" s="11"/>
      <c r="C455" s="11"/>
      <c r="D455" s="11"/>
      <c r="E455" s="11"/>
      <c r="F455" s="11"/>
      <c r="G455" s="11"/>
      <c r="H455" s="11"/>
      <c r="I455" s="11"/>
      <c r="J455" s="11"/>
      <c r="K455" s="11"/>
      <c r="L455" s="15"/>
      <c r="M455" s="15"/>
      <c r="N455" s="15"/>
      <c r="O455" s="15"/>
      <c r="P455" s="15"/>
      <c r="Q455" s="11"/>
      <c r="R455" s="11"/>
      <c r="S455" s="11"/>
      <c r="T455" s="11"/>
      <c r="U455" s="15"/>
      <c r="V455" s="11"/>
      <c r="W455" s="11"/>
      <c r="X455" s="11"/>
      <c r="Y455" s="11"/>
      <c r="Z455" s="11"/>
    </row>
    <row r="456">
      <c r="A456" s="18"/>
      <c r="B456" s="11"/>
      <c r="C456" s="11"/>
      <c r="D456" s="11"/>
      <c r="E456" s="11"/>
      <c r="F456" s="11"/>
      <c r="G456" s="11"/>
      <c r="H456" s="11"/>
      <c r="I456" s="11"/>
      <c r="J456" s="11"/>
      <c r="K456" s="11"/>
      <c r="L456" s="15"/>
      <c r="M456" s="15"/>
      <c r="N456" s="15"/>
      <c r="O456" s="15"/>
      <c r="P456" s="15"/>
      <c r="Q456" s="11"/>
      <c r="R456" s="11"/>
      <c r="S456" s="11"/>
      <c r="T456" s="11"/>
      <c r="U456" s="15"/>
      <c r="V456" s="11"/>
      <c r="W456" s="11"/>
      <c r="X456" s="11"/>
      <c r="Y456" s="11"/>
      <c r="Z456" s="11"/>
    </row>
    <row r="457">
      <c r="A457" s="18"/>
      <c r="B457" s="11"/>
      <c r="C457" s="11"/>
      <c r="D457" s="11"/>
      <c r="E457" s="11"/>
      <c r="F457" s="11"/>
      <c r="G457" s="11"/>
      <c r="H457" s="11"/>
      <c r="I457" s="11"/>
      <c r="J457" s="11"/>
      <c r="K457" s="11"/>
      <c r="L457" s="15"/>
      <c r="M457" s="15"/>
      <c r="N457" s="15"/>
      <c r="O457" s="15"/>
      <c r="P457" s="15"/>
      <c r="Q457" s="11"/>
      <c r="R457" s="11"/>
      <c r="S457" s="11"/>
      <c r="T457" s="11"/>
      <c r="U457" s="15"/>
      <c r="V457" s="11"/>
      <c r="W457" s="11"/>
      <c r="X457" s="11"/>
      <c r="Y457" s="11"/>
      <c r="Z457" s="11"/>
    </row>
    <row r="458">
      <c r="A458" s="18"/>
      <c r="B458" s="11"/>
      <c r="C458" s="11"/>
      <c r="D458" s="11"/>
      <c r="E458" s="11"/>
      <c r="F458" s="11"/>
      <c r="G458" s="11"/>
      <c r="H458" s="11"/>
      <c r="I458" s="11"/>
      <c r="J458" s="11"/>
      <c r="K458" s="11"/>
      <c r="L458" s="15"/>
      <c r="M458" s="15"/>
      <c r="N458" s="15"/>
      <c r="O458" s="15"/>
      <c r="P458" s="15"/>
      <c r="Q458" s="11"/>
      <c r="R458" s="11"/>
      <c r="S458" s="11"/>
      <c r="T458" s="11"/>
      <c r="U458" s="15"/>
      <c r="V458" s="11"/>
      <c r="W458" s="11"/>
      <c r="X458" s="11"/>
      <c r="Y458" s="11"/>
      <c r="Z458" s="11"/>
    </row>
    <row r="459">
      <c r="A459" s="18"/>
      <c r="B459" s="11"/>
      <c r="C459" s="11"/>
      <c r="D459" s="11"/>
      <c r="E459" s="11"/>
      <c r="F459" s="11"/>
      <c r="G459" s="11"/>
      <c r="H459" s="11"/>
      <c r="I459" s="11"/>
      <c r="J459" s="11"/>
      <c r="K459" s="11"/>
      <c r="L459" s="15"/>
      <c r="M459" s="15"/>
      <c r="N459" s="15"/>
      <c r="O459" s="15"/>
      <c r="P459" s="15"/>
      <c r="Q459" s="11"/>
      <c r="R459" s="11"/>
      <c r="S459" s="11"/>
      <c r="T459" s="11"/>
      <c r="U459" s="15"/>
      <c r="V459" s="11"/>
      <c r="W459" s="11"/>
      <c r="X459" s="11"/>
      <c r="Y459" s="11"/>
      <c r="Z459" s="11"/>
    </row>
    <row r="460">
      <c r="A460" s="18"/>
      <c r="B460" s="11"/>
      <c r="C460" s="11"/>
      <c r="D460" s="11"/>
      <c r="E460" s="11"/>
      <c r="F460" s="11"/>
      <c r="G460" s="11"/>
      <c r="H460" s="11"/>
      <c r="I460" s="11"/>
      <c r="J460" s="11"/>
      <c r="K460" s="11"/>
      <c r="L460" s="15"/>
      <c r="M460" s="15"/>
      <c r="N460" s="15"/>
      <c r="O460" s="15"/>
      <c r="P460" s="15"/>
      <c r="Q460" s="11"/>
      <c r="R460" s="11"/>
      <c r="S460" s="11"/>
      <c r="T460" s="11"/>
      <c r="U460" s="15"/>
      <c r="V460" s="11"/>
      <c r="W460" s="11"/>
      <c r="X460" s="11"/>
      <c r="Y460" s="11"/>
      <c r="Z460" s="11"/>
    </row>
    <row r="461">
      <c r="A461" s="18"/>
      <c r="B461" s="11"/>
      <c r="C461" s="11"/>
      <c r="D461" s="11"/>
      <c r="E461" s="11"/>
      <c r="F461" s="11"/>
      <c r="G461" s="11"/>
      <c r="H461" s="11"/>
      <c r="I461" s="11"/>
      <c r="J461" s="11"/>
      <c r="K461" s="11"/>
      <c r="L461" s="15"/>
      <c r="M461" s="15"/>
      <c r="N461" s="15"/>
      <c r="O461" s="15"/>
      <c r="P461" s="15"/>
      <c r="Q461" s="11"/>
      <c r="R461" s="11"/>
      <c r="S461" s="11"/>
      <c r="T461" s="11"/>
      <c r="U461" s="15"/>
      <c r="V461" s="11"/>
      <c r="W461" s="11"/>
      <c r="X461" s="11"/>
      <c r="Y461" s="11"/>
      <c r="Z461" s="11"/>
    </row>
    <row r="462">
      <c r="A462" s="18"/>
      <c r="B462" s="11"/>
      <c r="C462" s="11"/>
      <c r="D462" s="11"/>
      <c r="E462" s="11"/>
      <c r="F462" s="11"/>
      <c r="G462" s="11"/>
      <c r="H462" s="11"/>
      <c r="I462" s="11"/>
      <c r="J462" s="11"/>
      <c r="K462" s="11"/>
      <c r="L462" s="15"/>
      <c r="M462" s="15"/>
      <c r="N462" s="15"/>
      <c r="O462" s="15"/>
      <c r="P462" s="15"/>
      <c r="Q462" s="11"/>
      <c r="R462" s="11"/>
      <c r="S462" s="11"/>
      <c r="T462" s="11"/>
      <c r="U462" s="15"/>
      <c r="V462" s="11"/>
      <c r="W462" s="11"/>
      <c r="X462" s="11"/>
      <c r="Y462" s="11"/>
      <c r="Z462" s="11"/>
    </row>
    <row r="463">
      <c r="A463" s="18"/>
      <c r="B463" s="11"/>
      <c r="C463" s="11"/>
      <c r="D463" s="11"/>
      <c r="E463" s="11"/>
      <c r="F463" s="11"/>
      <c r="G463" s="11"/>
      <c r="H463" s="11"/>
      <c r="I463" s="11"/>
      <c r="J463" s="11"/>
      <c r="K463" s="11"/>
      <c r="L463" s="15"/>
      <c r="M463" s="15"/>
      <c r="N463" s="15"/>
      <c r="O463" s="15"/>
      <c r="P463" s="15"/>
      <c r="Q463" s="11"/>
      <c r="R463" s="11"/>
      <c r="S463" s="11"/>
      <c r="T463" s="11"/>
      <c r="U463" s="15"/>
      <c r="V463" s="11"/>
      <c r="W463" s="11"/>
      <c r="X463" s="11"/>
      <c r="Y463" s="11"/>
      <c r="Z463" s="11"/>
    </row>
    <row r="464">
      <c r="A464" s="18"/>
      <c r="B464" s="11"/>
      <c r="C464" s="11"/>
      <c r="D464" s="11"/>
      <c r="E464" s="11"/>
      <c r="F464" s="11"/>
      <c r="G464" s="11"/>
      <c r="H464" s="11"/>
      <c r="I464" s="11"/>
      <c r="J464" s="11"/>
      <c r="K464" s="11"/>
      <c r="L464" s="15"/>
      <c r="M464" s="15"/>
      <c r="N464" s="15"/>
      <c r="O464" s="15"/>
      <c r="P464" s="15"/>
      <c r="Q464" s="11"/>
      <c r="R464" s="11"/>
      <c r="S464" s="11"/>
      <c r="T464" s="11"/>
      <c r="U464" s="15"/>
      <c r="V464" s="11"/>
      <c r="W464" s="11"/>
      <c r="X464" s="11"/>
      <c r="Y464" s="11"/>
      <c r="Z464" s="11"/>
    </row>
    <row r="465">
      <c r="A465" s="18"/>
      <c r="B465" s="11"/>
      <c r="C465" s="11"/>
      <c r="D465" s="11"/>
      <c r="E465" s="11"/>
      <c r="F465" s="11"/>
      <c r="G465" s="11"/>
      <c r="H465" s="11"/>
      <c r="I465" s="11"/>
      <c r="J465" s="11"/>
      <c r="K465" s="11"/>
      <c r="L465" s="15"/>
      <c r="M465" s="15"/>
      <c r="N465" s="15"/>
      <c r="O465" s="15"/>
      <c r="P465" s="15"/>
      <c r="Q465" s="11"/>
      <c r="R465" s="11"/>
      <c r="S465" s="11"/>
      <c r="T465" s="11"/>
      <c r="U465" s="15"/>
      <c r="V465" s="11"/>
      <c r="W465" s="11"/>
      <c r="X465" s="11"/>
      <c r="Y465" s="11"/>
      <c r="Z465" s="11"/>
    </row>
    <row r="466">
      <c r="A466" s="18"/>
      <c r="B466" s="11"/>
      <c r="C466" s="11"/>
      <c r="D466" s="11"/>
      <c r="E466" s="11"/>
      <c r="F466" s="11"/>
      <c r="G466" s="11"/>
      <c r="H466" s="11"/>
      <c r="I466" s="11"/>
      <c r="J466" s="11"/>
      <c r="K466" s="11"/>
      <c r="L466" s="15"/>
      <c r="M466" s="15"/>
      <c r="N466" s="15"/>
      <c r="O466" s="15"/>
      <c r="P466" s="15"/>
      <c r="Q466" s="11"/>
      <c r="R466" s="11"/>
      <c r="S466" s="11"/>
      <c r="T466" s="11"/>
      <c r="U466" s="15"/>
      <c r="V466" s="11"/>
      <c r="W466" s="11"/>
      <c r="X466" s="11"/>
      <c r="Y466" s="11"/>
      <c r="Z466" s="11"/>
    </row>
    <row r="467">
      <c r="A467" s="18"/>
      <c r="B467" s="11"/>
      <c r="C467" s="11"/>
      <c r="D467" s="11"/>
      <c r="E467" s="11"/>
      <c r="F467" s="11"/>
      <c r="G467" s="11"/>
      <c r="H467" s="11"/>
      <c r="I467" s="11"/>
      <c r="J467" s="11"/>
      <c r="K467" s="11"/>
      <c r="L467" s="15"/>
      <c r="M467" s="15"/>
      <c r="N467" s="15"/>
      <c r="O467" s="15"/>
      <c r="P467" s="15"/>
      <c r="Q467" s="11"/>
      <c r="R467" s="11"/>
      <c r="S467" s="11"/>
      <c r="T467" s="11"/>
      <c r="U467" s="15"/>
      <c r="V467" s="11"/>
      <c r="W467" s="11"/>
      <c r="X467" s="11"/>
      <c r="Y467" s="11"/>
      <c r="Z467" s="11"/>
    </row>
    <row r="468">
      <c r="A468" s="18"/>
      <c r="B468" s="11"/>
      <c r="C468" s="11"/>
      <c r="D468" s="11"/>
      <c r="E468" s="11"/>
      <c r="F468" s="11"/>
      <c r="G468" s="11"/>
      <c r="H468" s="11"/>
      <c r="I468" s="11"/>
      <c r="J468" s="11"/>
      <c r="K468" s="11"/>
      <c r="L468" s="15"/>
      <c r="M468" s="15"/>
      <c r="N468" s="15"/>
      <c r="O468" s="15"/>
      <c r="P468" s="15"/>
      <c r="Q468" s="11"/>
      <c r="R468" s="11"/>
      <c r="S468" s="11"/>
      <c r="T468" s="11"/>
      <c r="U468" s="15"/>
      <c r="V468" s="11"/>
      <c r="W468" s="11"/>
      <c r="X468" s="11"/>
      <c r="Y468" s="11"/>
      <c r="Z468" s="11"/>
    </row>
    <row r="469">
      <c r="A469" s="18"/>
      <c r="B469" s="11"/>
      <c r="C469" s="11"/>
      <c r="D469" s="11"/>
      <c r="E469" s="11"/>
      <c r="F469" s="11"/>
      <c r="G469" s="11"/>
      <c r="H469" s="11"/>
      <c r="I469" s="11"/>
      <c r="J469" s="11"/>
      <c r="K469" s="11"/>
      <c r="L469" s="15"/>
      <c r="M469" s="15"/>
      <c r="N469" s="15"/>
      <c r="O469" s="15"/>
      <c r="P469" s="15"/>
      <c r="Q469" s="11"/>
      <c r="R469" s="11"/>
      <c r="S469" s="11"/>
      <c r="T469" s="11"/>
      <c r="U469" s="15"/>
      <c r="V469" s="11"/>
      <c r="W469" s="11"/>
      <c r="X469" s="11"/>
      <c r="Y469" s="11"/>
      <c r="Z469" s="11"/>
    </row>
    <row r="470">
      <c r="A470" s="18"/>
      <c r="B470" s="11"/>
      <c r="C470" s="11"/>
      <c r="D470" s="11"/>
      <c r="E470" s="11"/>
      <c r="F470" s="11"/>
      <c r="G470" s="11"/>
      <c r="H470" s="11"/>
      <c r="I470" s="11"/>
      <c r="J470" s="11"/>
      <c r="K470" s="11"/>
      <c r="L470" s="15"/>
      <c r="M470" s="15"/>
      <c r="N470" s="15"/>
      <c r="O470" s="15"/>
      <c r="P470" s="15"/>
      <c r="Q470" s="11"/>
      <c r="R470" s="11"/>
      <c r="S470" s="11"/>
      <c r="T470" s="11"/>
      <c r="U470" s="15"/>
      <c r="V470" s="11"/>
      <c r="W470" s="11"/>
      <c r="X470" s="11"/>
      <c r="Y470" s="11"/>
      <c r="Z470" s="11"/>
    </row>
    <row r="471">
      <c r="A471" s="18"/>
      <c r="B471" s="11"/>
      <c r="C471" s="11"/>
      <c r="D471" s="11"/>
      <c r="E471" s="11"/>
      <c r="F471" s="11"/>
      <c r="G471" s="11"/>
      <c r="H471" s="11"/>
      <c r="I471" s="11"/>
      <c r="J471" s="11"/>
      <c r="K471" s="11"/>
      <c r="L471" s="15"/>
      <c r="M471" s="15"/>
      <c r="N471" s="15"/>
      <c r="O471" s="15"/>
      <c r="P471" s="15"/>
      <c r="Q471" s="11"/>
      <c r="R471" s="11"/>
      <c r="S471" s="11"/>
      <c r="T471" s="11"/>
      <c r="U471" s="15"/>
      <c r="V471" s="11"/>
      <c r="W471" s="11"/>
      <c r="X471" s="11"/>
      <c r="Y471" s="11"/>
      <c r="Z471" s="11"/>
    </row>
    <row r="472">
      <c r="A472" s="18"/>
      <c r="B472" s="11"/>
      <c r="C472" s="11"/>
      <c r="D472" s="11"/>
      <c r="E472" s="11"/>
      <c r="F472" s="11"/>
      <c r="G472" s="11"/>
      <c r="H472" s="11"/>
      <c r="I472" s="11"/>
      <c r="J472" s="11"/>
      <c r="K472" s="11"/>
      <c r="L472" s="15"/>
      <c r="M472" s="15"/>
      <c r="N472" s="15"/>
      <c r="O472" s="15"/>
      <c r="P472" s="15"/>
      <c r="Q472" s="11"/>
      <c r="R472" s="11"/>
      <c r="S472" s="11"/>
      <c r="T472" s="11"/>
      <c r="U472" s="15"/>
      <c r="V472" s="11"/>
      <c r="W472" s="11"/>
      <c r="X472" s="11"/>
      <c r="Y472" s="11"/>
      <c r="Z472" s="11"/>
    </row>
    <row r="473">
      <c r="A473" s="18"/>
      <c r="B473" s="11"/>
      <c r="C473" s="11"/>
      <c r="D473" s="11"/>
      <c r="E473" s="11"/>
      <c r="F473" s="11"/>
      <c r="G473" s="11"/>
      <c r="H473" s="11"/>
      <c r="I473" s="11"/>
      <c r="J473" s="11"/>
      <c r="K473" s="11"/>
      <c r="L473" s="15"/>
      <c r="M473" s="15"/>
      <c r="N473" s="15"/>
      <c r="O473" s="15"/>
      <c r="P473" s="15"/>
      <c r="Q473" s="11"/>
      <c r="R473" s="11"/>
      <c r="S473" s="11"/>
      <c r="T473" s="11"/>
      <c r="U473" s="15"/>
      <c r="V473" s="11"/>
      <c r="W473" s="11"/>
      <c r="X473" s="11"/>
      <c r="Y473" s="11"/>
      <c r="Z473" s="11"/>
    </row>
    <row r="474">
      <c r="A474" s="18"/>
      <c r="B474" s="11"/>
      <c r="C474" s="11"/>
      <c r="D474" s="11"/>
      <c r="E474" s="11"/>
      <c r="F474" s="11"/>
      <c r="G474" s="11"/>
      <c r="H474" s="11"/>
      <c r="I474" s="11"/>
      <c r="J474" s="11"/>
      <c r="K474" s="11"/>
      <c r="L474" s="15"/>
      <c r="M474" s="15"/>
      <c r="N474" s="15"/>
      <c r="O474" s="15"/>
      <c r="P474" s="15"/>
      <c r="Q474" s="11"/>
      <c r="R474" s="11"/>
      <c r="S474" s="11"/>
      <c r="T474" s="11"/>
      <c r="U474" s="15"/>
      <c r="V474" s="11"/>
      <c r="W474" s="11"/>
      <c r="X474" s="11"/>
      <c r="Y474" s="11"/>
      <c r="Z474" s="11"/>
    </row>
    <row r="475">
      <c r="A475" s="18"/>
      <c r="B475" s="11"/>
      <c r="C475" s="11"/>
      <c r="D475" s="11"/>
      <c r="E475" s="11"/>
      <c r="F475" s="11"/>
      <c r="G475" s="11"/>
      <c r="H475" s="11"/>
      <c r="I475" s="11"/>
      <c r="J475" s="11"/>
      <c r="K475" s="11"/>
      <c r="L475" s="15"/>
      <c r="M475" s="15"/>
      <c r="N475" s="15"/>
      <c r="O475" s="15"/>
      <c r="P475" s="15"/>
      <c r="Q475" s="11"/>
      <c r="R475" s="11"/>
      <c r="S475" s="11"/>
      <c r="T475" s="11"/>
      <c r="U475" s="15"/>
      <c r="V475" s="11"/>
      <c r="W475" s="11"/>
      <c r="X475" s="11"/>
      <c r="Y475" s="11"/>
      <c r="Z475" s="11"/>
    </row>
    <row r="476">
      <c r="A476" s="18"/>
      <c r="B476" s="11"/>
      <c r="C476" s="11"/>
      <c r="D476" s="11"/>
      <c r="E476" s="11"/>
      <c r="F476" s="11"/>
      <c r="G476" s="11"/>
      <c r="H476" s="11"/>
      <c r="I476" s="11"/>
      <c r="J476" s="11"/>
      <c r="K476" s="11"/>
      <c r="L476" s="15"/>
      <c r="M476" s="15"/>
      <c r="N476" s="15"/>
      <c r="O476" s="15"/>
      <c r="P476" s="15"/>
      <c r="Q476" s="11"/>
      <c r="R476" s="11"/>
      <c r="S476" s="11"/>
      <c r="T476" s="11"/>
      <c r="U476" s="15"/>
      <c r="V476" s="11"/>
      <c r="W476" s="11"/>
      <c r="X476" s="11"/>
      <c r="Y476" s="11"/>
      <c r="Z476" s="11"/>
    </row>
    <row r="477">
      <c r="A477" s="18"/>
      <c r="B477" s="11"/>
      <c r="C477" s="11"/>
      <c r="D477" s="11"/>
      <c r="E477" s="11"/>
      <c r="F477" s="11"/>
      <c r="G477" s="11"/>
      <c r="H477" s="11"/>
      <c r="I477" s="11"/>
      <c r="J477" s="11"/>
      <c r="K477" s="11"/>
      <c r="L477" s="15"/>
      <c r="M477" s="15"/>
      <c r="N477" s="15"/>
      <c r="O477" s="15"/>
      <c r="P477" s="15"/>
      <c r="Q477" s="11"/>
      <c r="R477" s="11"/>
      <c r="S477" s="11"/>
      <c r="T477" s="11"/>
      <c r="U477" s="15"/>
      <c r="V477" s="11"/>
      <c r="W477" s="11"/>
      <c r="X477" s="11"/>
      <c r="Y477" s="11"/>
      <c r="Z477" s="11"/>
    </row>
    <row r="478">
      <c r="A478" s="18"/>
      <c r="B478" s="11"/>
      <c r="C478" s="11"/>
      <c r="D478" s="11"/>
      <c r="E478" s="11"/>
      <c r="F478" s="11"/>
      <c r="G478" s="11"/>
      <c r="H478" s="11"/>
      <c r="I478" s="11"/>
      <c r="J478" s="11"/>
      <c r="K478" s="11"/>
      <c r="L478" s="15"/>
      <c r="M478" s="15"/>
      <c r="N478" s="15"/>
      <c r="O478" s="15"/>
      <c r="P478" s="15"/>
      <c r="Q478" s="11"/>
      <c r="R478" s="11"/>
      <c r="S478" s="11"/>
      <c r="T478" s="11"/>
      <c r="U478" s="15"/>
      <c r="V478" s="11"/>
      <c r="W478" s="11"/>
      <c r="X478" s="11"/>
      <c r="Y478" s="11"/>
      <c r="Z478" s="11"/>
    </row>
    <row r="479">
      <c r="A479" s="18"/>
      <c r="B479" s="11"/>
      <c r="C479" s="11"/>
      <c r="D479" s="11"/>
      <c r="E479" s="11"/>
      <c r="F479" s="11"/>
      <c r="G479" s="11"/>
      <c r="H479" s="11"/>
      <c r="I479" s="11"/>
      <c r="J479" s="11"/>
      <c r="K479" s="11"/>
      <c r="L479" s="15"/>
      <c r="M479" s="15"/>
      <c r="N479" s="15"/>
      <c r="O479" s="15"/>
      <c r="P479" s="15"/>
      <c r="Q479" s="11"/>
      <c r="R479" s="11"/>
      <c r="S479" s="11"/>
      <c r="T479" s="11"/>
      <c r="U479" s="15"/>
      <c r="V479" s="11"/>
      <c r="W479" s="11"/>
      <c r="X479" s="11"/>
      <c r="Y479" s="11"/>
      <c r="Z479" s="11"/>
    </row>
    <row r="480">
      <c r="A480" s="18"/>
      <c r="B480" s="11"/>
      <c r="C480" s="11"/>
      <c r="D480" s="11"/>
      <c r="E480" s="11"/>
      <c r="F480" s="11"/>
      <c r="G480" s="11"/>
      <c r="H480" s="11"/>
      <c r="I480" s="11"/>
      <c r="J480" s="11"/>
      <c r="K480" s="11"/>
      <c r="L480" s="15"/>
      <c r="M480" s="15"/>
      <c r="N480" s="15"/>
      <c r="O480" s="15"/>
      <c r="P480" s="15"/>
      <c r="Q480" s="11"/>
      <c r="R480" s="11"/>
      <c r="S480" s="11"/>
      <c r="T480" s="11"/>
      <c r="U480" s="15"/>
      <c r="V480" s="11"/>
      <c r="W480" s="11"/>
      <c r="X480" s="11"/>
      <c r="Y480" s="11"/>
      <c r="Z480" s="11"/>
    </row>
    <row r="481">
      <c r="A481" s="18"/>
      <c r="B481" s="11"/>
      <c r="C481" s="11"/>
      <c r="D481" s="11"/>
      <c r="E481" s="11"/>
      <c r="F481" s="11"/>
      <c r="G481" s="11"/>
      <c r="H481" s="11"/>
      <c r="I481" s="11"/>
      <c r="J481" s="11"/>
      <c r="K481" s="11"/>
      <c r="L481" s="15"/>
      <c r="M481" s="15"/>
      <c r="N481" s="15"/>
      <c r="O481" s="15"/>
      <c r="P481" s="15"/>
      <c r="Q481" s="11"/>
      <c r="R481" s="11"/>
      <c r="S481" s="11"/>
      <c r="T481" s="11"/>
      <c r="U481" s="15"/>
      <c r="V481" s="11"/>
      <c r="W481" s="11"/>
      <c r="X481" s="11"/>
      <c r="Y481" s="11"/>
      <c r="Z481" s="11"/>
    </row>
    <row r="482">
      <c r="A482" s="18"/>
      <c r="B482" s="11"/>
      <c r="C482" s="11"/>
      <c r="D482" s="11"/>
      <c r="E482" s="11"/>
      <c r="F482" s="11"/>
      <c r="G482" s="11"/>
      <c r="H482" s="11"/>
      <c r="I482" s="11"/>
      <c r="J482" s="11"/>
      <c r="K482" s="11"/>
      <c r="L482" s="15"/>
      <c r="M482" s="15"/>
      <c r="N482" s="15"/>
      <c r="O482" s="15"/>
      <c r="P482" s="15"/>
      <c r="Q482" s="11"/>
      <c r="R482" s="11"/>
      <c r="S482" s="11"/>
      <c r="T482" s="11"/>
      <c r="U482" s="15"/>
      <c r="V482" s="11"/>
      <c r="W482" s="11"/>
      <c r="X482" s="11"/>
      <c r="Y482" s="11"/>
      <c r="Z482" s="11"/>
    </row>
    <row r="483">
      <c r="A483" s="18"/>
      <c r="B483" s="11"/>
      <c r="C483" s="11"/>
      <c r="D483" s="11"/>
      <c r="E483" s="11"/>
      <c r="F483" s="11"/>
      <c r="G483" s="11"/>
      <c r="H483" s="11"/>
      <c r="I483" s="11"/>
      <c r="J483" s="11"/>
      <c r="K483" s="11"/>
      <c r="L483" s="15"/>
      <c r="M483" s="15"/>
      <c r="N483" s="15"/>
      <c r="O483" s="15"/>
      <c r="P483" s="15"/>
      <c r="Q483" s="11"/>
      <c r="R483" s="11"/>
      <c r="S483" s="11"/>
      <c r="T483" s="11"/>
      <c r="U483" s="15"/>
      <c r="V483" s="11"/>
      <c r="W483" s="11"/>
      <c r="X483" s="11"/>
      <c r="Y483" s="11"/>
      <c r="Z483" s="11"/>
    </row>
    <row r="484">
      <c r="A484" s="18"/>
      <c r="B484" s="11"/>
      <c r="C484" s="11"/>
      <c r="D484" s="11"/>
      <c r="E484" s="11"/>
      <c r="F484" s="11"/>
      <c r="G484" s="11"/>
      <c r="H484" s="11"/>
      <c r="I484" s="11"/>
      <c r="J484" s="11"/>
      <c r="K484" s="11"/>
      <c r="L484" s="15"/>
      <c r="M484" s="15"/>
      <c r="N484" s="15"/>
      <c r="O484" s="15"/>
      <c r="P484" s="15"/>
      <c r="Q484" s="11"/>
      <c r="R484" s="11"/>
      <c r="S484" s="11"/>
      <c r="T484" s="11"/>
      <c r="U484" s="15"/>
      <c r="V484" s="11"/>
      <c r="W484" s="11"/>
      <c r="X484" s="11"/>
      <c r="Y484" s="11"/>
      <c r="Z484" s="11"/>
    </row>
    <row r="485">
      <c r="A485" s="18"/>
      <c r="B485" s="11"/>
      <c r="C485" s="11"/>
      <c r="D485" s="11"/>
      <c r="E485" s="11"/>
      <c r="F485" s="11"/>
      <c r="G485" s="11"/>
      <c r="H485" s="11"/>
      <c r="I485" s="11"/>
      <c r="J485" s="11"/>
      <c r="K485" s="11"/>
      <c r="L485" s="15"/>
      <c r="M485" s="15"/>
      <c r="N485" s="15"/>
      <c r="O485" s="15"/>
      <c r="P485" s="15"/>
      <c r="Q485" s="11"/>
      <c r="R485" s="11"/>
      <c r="S485" s="11"/>
      <c r="T485" s="11"/>
      <c r="U485" s="15"/>
      <c r="V485" s="11"/>
      <c r="W485" s="11"/>
      <c r="X485" s="11"/>
      <c r="Y485" s="11"/>
      <c r="Z485" s="11"/>
    </row>
    <row r="486">
      <c r="A486" s="18"/>
      <c r="B486" s="11"/>
      <c r="C486" s="11"/>
      <c r="D486" s="11"/>
      <c r="E486" s="11"/>
      <c r="F486" s="11"/>
      <c r="G486" s="11"/>
      <c r="H486" s="11"/>
      <c r="I486" s="11"/>
      <c r="J486" s="11"/>
      <c r="K486" s="11"/>
      <c r="L486" s="15"/>
      <c r="M486" s="15"/>
      <c r="N486" s="15"/>
      <c r="O486" s="15"/>
      <c r="P486" s="15"/>
      <c r="Q486" s="11"/>
      <c r="R486" s="11"/>
      <c r="S486" s="11"/>
      <c r="T486" s="11"/>
      <c r="U486" s="15"/>
      <c r="V486" s="11"/>
      <c r="W486" s="11"/>
      <c r="X486" s="11"/>
      <c r="Y486" s="11"/>
      <c r="Z486" s="11"/>
    </row>
    <row r="487">
      <c r="A487" s="18"/>
      <c r="B487" s="11"/>
      <c r="C487" s="11"/>
      <c r="D487" s="11"/>
      <c r="E487" s="11"/>
      <c r="F487" s="11"/>
      <c r="G487" s="11"/>
      <c r="H487" s="11"/>
      <c r="I487" s="11"/>
      <c r="J487" s="11"/>
      <c r="K487" s="11"/>
      <c r="L487" s="15"/>
      <c r="M487" s="15"/>
      <c r="N487" s="15"/>
      <c r="O487" s="15"/>
      <c r="P487" s="15"/>
      <c r="Q487" s="11"/>
      <c r="R487" s="11"/>
      <c r="S487" s="11"/>
      <c r="T487" s="11"/>
      <c r="U487" s="15"/>
      <c r="V487" s="11"/>
      <c r="W487" s="11"/>
      <c r="X487" s="11"/>
      <c r="Y487" s="11"/>
      <c r="Z487" s="11"/>
    </row>
    <row r="488">
      <c r="A488" s="18"/>
      <c r="B488" s="11"/>
      <c r="C488" s="11"/>
      <c r="D488" s="11"/>
      <c r="E488" s="11"/>
      <c r="F488" s="11"/>
      <c r="G488" s="11"/>
      <c r="H488" s="11"/>
      <c r="I488" s="11"/>
      <c r="J488" s="11"/>
      <c r="K488" s="11"/>
      <c r="L488" s="15"/>
      <c r="M488" s="15"/>
      <c r="N488" s="15"/>
      <c r="O488" s="15"/>
      <c r="P488" s="15"/>
      <c r="Q488" s="11"/>
      <c r="R488" s="11"/>
      <c r="S488" s="11"/>
      <c r="T488" s="11"/>
      <c r="U488" s="15"/>
      <c r="V488" s="11"/>
      <c r="W488" s="11"/>
      <c r="X488" s="11"/>
      <c r="Y488" s="11"/>
      <c r="Z488" s="11"/>
    </row>
    <row r="489">
      <c r="A489" s="18"/>
      <c r="B489" s="11"/>
      <c r="C489" s="11"/>
      <c r="D489" s="11"/>
      <c r="E489" s="11"/>
      <c r="F489" s="11"/>
      <c r="G489" s="11"/>
      <c r="H489" s="11"/>
      <c r="I489" s="11"/>
      <c r="J489" s="11"/>
      <c r="K489" s="11"/>
      <c r="L489" s="15"/>
      <c r="M489" s="15"/>
      <c r="N489" s="15"/>
      <c r="O489" s="15"/>
      <c r="P489" s="15"/>
      <c r="Q489" s="11"/>
      <c r="R489" s="11"/>
      <c r="S489" s="11"/>
      <c r="T489" s="11"/>
      <c r="U489" s="15"/>
      <c r="V489" s="11"/>
      <c r="W489" s="11"/>
      <c r="X489" s="11"/>
      <c r="Y489" s="11"/>
      <c r="Z489" s="11"/>
    </row>
    <row r="490">
      <c r="A490" s="18"/>
      <c r="B490" s="11"/>
      <c r="C490" s="11"/>
      <c r="D490" s="11"/>
      <c r="E490" s="11"/>
      <c r="F490" s="11"/>
      <c r="G490" s="11"/>
      <c r="H490" s="11"/>
      <c r="I490" s="11"/>
      <c r="J490" s="11"/>
      <c r="K490" s="11"/>
      <c r="L490" s="15"/>
      <c r="M490" s="15"/>
      <c r="N490" s="15"/>
      <c r="O490" s="15"/>
      <c r="P490" s="15"/>
      <c r="Q490" s="11"/>
      <c r="R490" s="11"/>
      <c r="S490" s="11"/>
      <c r="T490" s="11"/>
      <c r="U490" s="15"/>
      <c r="V490" s="11"/>
      <c r="W490" s="11"/>
      <c r="X490" s="11"/>
      <c r="Y490" s="11"/>
      <c r="Z490" s="11"/>
    </row>
    <row r="491">
      <c r="A491" s="18"/>
      <c r="B491" s="11"/>
      <c r="C491" s="11"/>
      <c r="D491" s="11"/>
      <c r="E491" s="11"/>
      <c r="F491" s="11"/>
      <c r="G491" s="11"/>
      <c r="H491" s="11"/>
      <c r="I491" s="11"/>
      <c r="J491" s="11"/>
      <c r="K491" s="11"/>
      <c r="L491" s="15"/>
      <c r="M491" s="15"/>
      <c r="N491" s="15"/>
      <c r="O491" s="15"/>
      <c r="P491" s="15"/>
      <c r="Q491" s="11"/>
      <c r="R491" s="11"/>
      <c r="S491" s="11"/>
      <c r="T491" s="11"/>
      <c r="U491" s="15"/>
      <c r="V491" s="11"/>
      <c r="W491" s="11"/>
      <c r="X491" s="11"/>
      <c r="Y491" s="11"/>
      <c r="Z491" s="11"/>
    </row>
    <row r="492">
      <c r="A492" s="18"/>
      <c r="B492" s="11"/>
      <c r="C492" s="11"/>
      <c r="D492" s="11"/>
      <c r="E492" s="11"/>
      <c r="F492" s="11"/>
      <c r="G492" s="11"/>
      <c r="H492" s="11"/>
      <c r="I492" s="11"/>
      <c r="J492" s="11"/>
      <c r="K492" s="11"/>
      <c r="L492" s="15"/>
      <c r="M492" s="15"/>
      <c r="N492" s="15"/>
      <c r="O492" s="15"/>
      <c r="P492" s="15"/>
      <c r="Q492" s="11"/>
      <c r="R492" s="11"/>
      <c r="S492" s="11"/>
      <c r="T492" s="11"/>
      <c r="U492" s="15"/>
      <c r="V492" s="11"/>
      <c r="W492" s="11"/>
      <c r="X492" s="11"/>
      <c r="Y492" s="11"/>
      <c r="Z492" s="11"/>
    </row>
    <row r="493">
      <c r="A493" s="18"/>
      <c r="B493" s="11"/>
      <c r="C493" s="11"/>
      <c r="D493" s="11"/>
      <c r="E493" s="11"/>
      <c r="F493" s="11"/>
      <c r="G493" s="11"/>
      <c r="H493" s="11"/>
      <c r="I493" s="11"/>
      <c r="J493" s="11"/>
      <c r="K493" s="11"/>
      <c r="L493" s="15"/>
      <c r="M493" s="15"/>
      <c r="N493" s="15"/>
      <c r="O493" s="15"/>
      <c r="P493" s="15"/>
      <c r="Q493" s="11"/>
      <c r="R493" s="11"/>
      <c r="S493" s="11"/>
      <c r="T493" s="11"/>
      <c r="U493" s="15"/>
      <c r="V493" s="11"/>
      <c r="W493" s="11"/>
      <c r="X493" s="11"/>
      <c r="Y493" s="11"/>
      <c r="Z493" s="11"/>
    </row>
    <row r="494">
      <c r="A494" s="18"/>
      <c r="B494" s="11"/>
      <c r="C494" s="11"/>
      <c r="D494" s="11"/>
      <c r="E494" s="11"/>
      <c r="F494" s="11"/>
      <c r="G494" s="11"/>
      <c r="H494" s="11"/>
      <c r="I494" s="11"/>
      <c r="J494" s="11"/>
      <c r="K494" s="11"/>
      <c r="L494" s="15"/>
      <c r="M494" s="15"/>
      <c r="N494" s="15"/>
      <c r="O494" s="15"/>
      <c r="P494" s="15"/>
      <c r="Q494" s="11"/>
      <c r="R494" s="11"/>
      <c r="S494" s="11"/>
      <c r="T494" s="11"/>
      <c r="U494" s="15"/>
      <c r="V494" s="11"/>
      <c r="W494" s="11"/>
      <c r="X494" s="11"/>
      <c r="Y494" s="11"/>
      <c r="Z494" s="11"/>
    </row>
    <row r="495">
      <c r="A495" s="18"/>
      <c r="B495" s="11"/>
      <c r="C495" s="11"/>
      <c r="D495" s="11"/>
      <c r="E495" s="11"/>
      <c r="F495" s="11"/>
      <c r="G495" s="11"/>
      <c r="H495" s="11"/>
      <c r="I495" s="11"/>
      <c r="J495" s="11"/>
      <c r="K495" s="11"/>
      <c r="L495" s="15"/>
      <c r="M495" s="15"/>
      <c r="N495" s="15"/>
      <c r="O495" s="15"/>
      <c r="P495" s="15"/>
      <c r="Q495" s="11"/>
      <c r="R495" s="11"/>
      <c r="S495" s="11"/>
      <c r="T495" s="11"/>
      <c r="U495" s="15"/>
      <c r="V495" s="11"/>
      <c r="W495" s="11"/>
      <c r="X495" s="11"/>
      <c r="Y495" s="11"/>
      <c r="Z495" s="11"/>
    </row>
    <row r="496">
      <c r="A496" s="18"/>
      <c r="B496" s="11"/>
      <c r="C496" s="11"/>
      <c r="D496" s="11"/>
      <c r="E496" s="11"/>
      <c r="F496" s="11"/>
      <c r="G496" s="11"/>
      <c r="H496" s="11"/>
      <c r="I496" s="11"/>
      <c r="J496" s="11"/>
      <c r="K496" s="11"/>
      <c r="L496" s="15"/>
      <c r="M496" s="15"/>
      <c r="N496" s="15"/>
      <c r="O496" s="15"/>
      <c r="P496" s="15"/>
      <c r="Q496" s="11"/>
      <c r="R496" s="11"/>
      <c r="S496" s="11"/>
      <c r="T496" s="11"/>
      <c r="U496" s="15"/>
      <c r="V496" s="11"/>
      <c r="W496" s="11"/>
      <c r="X496" s="11"/>
      <c r="Y496" s="11"/>
      <c r="Z496" s="11"/>
    </row>
    <row r="497">
      <c r="A497" s="18"/>
      <c r="B497" s="11"/>
      <c r="C497" s="11"/>
      <c r="D497" s="11"/>
      <c r="E497" s="11"/>
      <c r="F497" s="11"/>
      <c r="G497" s="11"/>
      <c r="H497" s="11"/>
      <c r="I497" s="11"/>
      <c r="J497" s="11"/>
      <c r="K497" s="11"/>
      <c r="L497" s="15"/>
      <c r="M497" s="15"/>
      <c r="N497" s="15"/>
      <c r="O497" s="15"/>
      <c r="P497" s="15"/>
      <c r="Q497" s="11"/>
      <c r="R497" s="11"/>
      <c r="S497" s="11"/>
      <c r="T497" s="11"/>
      <c r="U497" s="15"/>
      <c r="V497" s="11"/>
      <c r="W497" s="11"/>
      <c r="X497" s="11"/>
      <c r="Y497" s="11"/>
      <c r="Z497" s="11"/>
    </row>
    <row r="498">
      <c r="A498" s="18"/>
      <c r="B498" s="11"/>
      <c r="C498" s="11"/>
      <c r="D498" s="11"/>
      <c r="E498" s="11"/>
      <c r="F498" s="11"/>
      <c r="G498" s="11"/>
      <c r="H498" s="11"/>
      <c r="I498" s="11"/>
      <c r="J498" s="11"/>
      <c r="K498" s="11"/>
      <c r="L498" s="15"/>
      <c r="M498" s="15"/>
      <c r="N498" s="15"/>
      <c r="O498" s="15"/>
      <c r="P498" s="15"/>
      <c r="Q498" s="11"/>
      <c r="R498" s="11"/>
      <c r="S498" s="11"/>
      <c r="T498" s="11"/>
      <c r="U498" s="15"/>
      <c r="V498" s="11"/>
      <c r="W498" s="11"/>
      <c r="X498" s="11"/>
      <c r="Y498" s="11"/>
      <c r="Z498" s="11"/>
    </row>
    <row r="499">
      <c r="A499" s="18"/>
      <c r="B499" s="11"/>
      <c r="C499" s="11"/>
      <c r="D499" s="11"/>
      <c r="E499" s="11"/>
      <c r="F499" s="11"/>
      <c r="G499" s="11"/>
      <c r="H499" s="11"/>
      <c r="I499" s="11"/>
      <c r="J499" s="11"/>
      <c r="K499" s="11"/>
      <c r="L499" s="15"/>
      <c r="M499" s="15"/>
      <c r="N499" s="15"/>
      <c r="O499" s="15"/>
      <c r="P499" s="15"/>
      <c r="Q499" s="11"/>
      <c r="R499" s="11"/>
      <c r="S499" s="11"/>
      <c r="T499" s="11"/>
      <c r="U499" s="15"/>
      <c r="V499" s="11"/>
      <c r="W499" s="11"/>
      <c r="X499" s="11"/>
      <c r="Y499" s="11"/>
      <c r="Z499" s="11"/>
    </row>
    <row r="500">
      <c r="A500" s="18"/>
      <c r="B500" s="11"/>
      <c r="C500" s="11"/>
      <c r="D500" s="11"/>
      <c r="E500" s="11"/>
      <c r="F500" s="11"/>
      <c r="G500" s="11"/>
      <c r="H500" s="11"/>
      <c r="I500" s="11"/>
      <c r="J500" s="11"/>
      <c r="K500" s="11"/>
      <c r="L500" s="15"/>
      <c r="M500" s="15"/>
      <c r="N500" s="15"/>
      <c r="O500" s="15"/>
      <c r="P500" s="15"/>
      <c r="Q500" s="11"/>
      <c r="R500" s="11"/>
      <c r="S500" s="11"/>
      <c r="T500" s="11"/>
      <c r="U500" s="15"/>
      <c r="V500" s="11"/>
      <c r="W500" s="11"/>
      <c r="X500" s="11"/>
      <c r="Y500" s="11"/>
      <c r="Z500" s="11"/>
    </row>
    <row r="501">
      <c r="A501" s="18"/>
      <c r="B501" s="11"/>
      <c r="C501" s="11"/>
      <c r="D501" s="11"/>
      <c r="E501" s="11"/>
      <c r="F501" s="11"/>
      <c r="G501" s="11"/>
      <c r="H501" s="11"/>
      <c r="I501" s="11"/>
      <c r="J501" s="11"/>
      <c r="K501" s="11"/>
      <c r="L501" s="15"/>
      <c r="M501" s="15"/>
      <c r="N501" s="15"/>
      <c r="O501" s="15"/>
      <c r="P501" s="15"/>
      <c r="Q501" s="11"/>
      <c r="R501" s="11"/>
      <c r="S501" s="11"/>
      <c r="T501" s="11"/>
      <c r="U501" s="15"/>
      <c r="V501" s="11"/>
      <c r="W501" s="11"/>
      <c r="X501" s="11"/>
      <c r="Y501" s="11"/>
      <c r="Z501" s="11"/>
    </row>
    <row r="502">
      <c r="A502" s="18"/>
      <c r="B502" s="11"/>
      <c r="C502" s="11"/>
      <c r="D502" s="11"/>
      <c r="E502" s="11"/>
      <c r="F502" s="11"/>
      <c r="G502" s="11"/>
      <c r="H502" s="11"/>
      <c r="I502" s="11"/>
      <c r="J502" s="11"/>
      <c r="K502" s="11"/>
      <c r="L502" s="15"/>
      <c r="M502" s="15"/>
      <c r="N502" s="15"/>
      <c r="O502" s="15"/>
      <c r="P502" s="15"/>
      <c r="Q502" s="11"/>
      <c r="R502" s="11"/>
      <c r="S502" s="11"/>
      <c r="T502" s="11"/>
      <c r="U502" s="15"/>
      <c r="V502" s="11"/>
      <c r="W502" s="11"/>
      <c r="X502" s="11"/>
      <c r="Y502" s="11"/>
      <c r="Z502" s="11"/>
    </row>
    <row r="503">
      <c r="A503" s="18"/>
      <c r="B503" s="11"/>
      <c r="C503" s="11"/>
      <c r="D503" s="11"/>
      <c r="E503" s="11"/>
      <c r="F503" s="11"/>
      <c r="G503" s="11"/>
      <c r="H503" s="11"/>
      <c r="I503" s="11"/>
      <c r="J503" s="11"/>
      <c r="K503" s="11"/>
      <c r="L503" s="15"/>
      <c r="M503" s="15"/>
      <c r="N503" s="15"/>
      <c r="O503" s="15"/>
      <c r="P503" s="15"/>
      <c r="Q503" s="11"/>
      <c r="R503" s="11"/>
      <c r="S503" s="11"/>
      <c r="T503" s="11"/>
      <c r="U503" s="15"/>
      <c r="V503" s="11"/>
      <c r="W503" s="11"/>
      <c r="X503" s="11"/>
      <c r="Y503" s="11"/>
      <c r="Z503" s="11"/>
    </row>
    <row r="504">
      <c r="A504" s="18"/>
      <c r="B504" s="11"/>
      <c r="C504" s="11"/>
      <c r="D504" s="11"/>
      <c r="E504" s="11"/>
      <c r="F504" s="11"/>
      <c r="G504" s="11"/>
      <c r="H504" s="11"/>
      <c r="I504" s="11"/>
      <c r="J504" s="11"/>
      <c r="K504" s="11"/>
      <c r="L504" s="15"/>
      <c r="M504" s="15"/>
      <c r="N504" s="15"/>
      <c r="O504" s="15"/>
      <c r="P504" s="15"/>
      <c r="Q504" s="11"/>
      <c r="R504" s="11"/>
      <c r="S504" s="11"/>
      <c r="T504" s="11"/>
      <c r="U504" s="15"/>
      <c r="V504" s="11"/>
      <c r="W504" s="11"/>
      <c r="X504" s="11"/>
      <c r="Y504" s="11"/>
      <c r="Z504" s="11"/>
    </row>
    <row r="505">
      <c r="A505" s="18"/>
      <c r="B505" s="11"/>
      <c r="C505" s="11"/>
      <c r="D505" s="11"/>
      <c r="E505" s="11"/>
      <c r="F505" s="11"/>
      <c r="G505" s="11"/>
      <c r="H505" s="11"/>
      <c r="I505" s="11"/>
      <c r="J505" s="11"/>
      <c r="K505" s="11"/>
      <c r="L505" s="15"/>
      <c r="M505" s="15"/>
      <c r="N505" s="15"/>
      <c r="O505" s="15"/>
      <c r="P505" s="15"/>
      <c r="Q505" s="11"/>
      <c r="R505" s="11"/>
      <c r="S505" s="11"/>
      <c r="T505" s="11"/>
      <c r="U505" s="15"/>
      <c r="V505" s="11"/>
      <c r="W505" s="11"/>
      <c r="X505" s="11"/>
      <c r="Y505" s="11"/>
      <c r="Z505" s="11"/>
    </row>
    <row r="506">
      <c r="A506" s="18"/>
      <c r="B506" s="11"/>
      <c r="C506" s="11"/>
      <c r="D506" s="11"/>
      <c r="E506" s="11"/>
      <c r="F506" s="11"/>
      <c r="G506" s="11"/>
      <c r="H506" s="11"/>
      <c r="I506" s="11"/>
      <c r="J506" s="11"/>
      <c r="K506" s="11"/>
      <c r="L506" s="15"/>
      <c r="M506" s="15"/>
      <c r="N506" s="15"/>
      <c r="O506" s="15"/>
      <c r="P506" s="15"/>
      <c r="Q506" s="11"/>
      <c r="R506" s="11"/>
      <c r="S506" s="11"/>
      <c r="T506" s="11"/>
      <c r="U506" s="15"/>
      <c r="V506" s="11"/>
      <c r="W506" s="11"/>
      <c r="X506" s="11"/>
      <c r="Y506" s="11"/>
      <c r="Z506" s="11"/>
    </row>
    <row r="507">
      <c r="A507" s="18"/>
      <c r="B507" s="11"/>
      <c r="C507" s="11"/>
      <c r="D507" s="11"/>
      <c r="E507" s="11"/>
      <c r="F507" s="11"/>
      <c r="G507" s="11"/>
      <c r="H507" s="11"/>
      <c r="I507" s="11"/>
      <c r="J507" s="11"/>
      <c r="K507" s="11"/>
      <c r="L507" s="15"/>
      <c r="M507" s="15"/>
      <c r="N507" s="15"/>
      <c r="O507" s="15"/>
      <c r="P507" s="15"/>
      <c r="Q507" s="11"/>
      <c r="R507" s="11"/>
      <c r="S507" s="11"/>
      <c r="T507" s="11"/>
      <c r="U507" s="15"/>
      <c r="V507" s="11"/>
      <c r="W507" s="11"/>
      <c r="X507" s="11"/>
      <c r="Y507" s="11"/>
      <c r="Z507" s="11"/>
    </row>
    <row r="508">
      <c r="A508" s="18"/>
      <c r="B508" s="11"/>
      <c r="C508" s="11"/>
      <c r="D508" s="11"/>
      <c r="E508" s="11"/>
      <c r="F508" s="11"/>
      <c r="G508" s="11"/>
      <c r="H508" s="11"/>
      <c r="I508" s="11"/>
      <c r="J508" s="11"/>
      <c r="K508" s="11"/>
      <c r="L508" s="15"/>
      <c r="M508" s="15"/>
      <c r="N508" s="15"/>
      <c r="O508" s="15"/>
      <c r="P508" s="15"/>
      <c r="Q508" s="11"/>
      <c r="R508" s="11"/>
      <c r="S508" s="11"/>
      <c r="T508" s="11"/>
      <c r="U508" s="15"/>
      <c r="V508" s="11"/>
      <c r="W508" s="11"/>
      <c r="X508" s="11"/>
      <c r="Y508" s="11"/>
      <c r="Z508" s="11"/>
    </row>
    <row r="509">
      <c r="A509" s="18"/>
      <c r="B509" s="11"/>
      <c r="C509" s="11"/>
      <c r="D509" s="11"/>
      <c r="E509" s="11"/>
      <c r="F509" s="11"/>
      <c r="G509" s="11"/>
      <c r="H509" s="11"/>
      <c r="I509" s="11"/>
      <c r="J509" s="11"/>
      <c r="K509" s="11"/>
      <c r="L509" s="15"/>
      <c r="M509" s="15"/>
      <c r="N509" s="15"/>
      <c r="O509" s="15"/>
      <c r="P509" s="15"/>
      <c r="Q509" s="11"/>
      <c r="R509" s="11"/>
      <c r="S509" s="11"/>
      <c r="T509" s="11"/>
      <c r="U509" s="15"/>
      <c r="V509" s="11"/>
      <c r="W509" s="11"/>
      <c r="X509" s="11"/>
      <c r="Y509" s="11"/>
      <c r="Z509" s="11"/>
    </row>
    <row r="510">
      <c r="A510" s="18"/>
      <c r="B510" s="11"/>
      <c r="C510" s="11"/>
      <c r="D510" s="11"/>
      <c r="E510" s="11"/>
      <c r="F510" s="11"/>
      <c r="G510" s="11"/>
      <c r="H510" s="11"/>
      <c r="I510" s="11"/>
      <c r="J510" s="11"/>
      <c r="K510" s="11"/>
      <c r="L510" s="15"/>
      <c r="M510" s="15"/>
      <c r="N510" s="15"/>
      <c r="O510" s="15"/>
      <c r="P510" s="15"/>
      <c r="Q510" s="11"/>
      <c r="R510" s="11"/>
      <c r="S510" s="11"/>
      <c r="T510" s="11"/>
      <c r="U510" s="15"/>
      <c r="V510" s="11"/>
      <c r="W510" s="11"/>
      <c r="X510" s="11"/>
      <c r="Y510" s="11"/>
      <c r="Z510" s="11"/>
    </row>
    <row r="511">
      <c r="A511" s="18"/>
      <c r="B511" s="11"/>
      <c r="C511" s="11"/>
      <c r="D511" s="11"/>
      <c r="E511" s="11"/>
      <c r="F511" s="11"/>
      <c r="G511" s="11"/>
      <c r="H511" s="11"/>
      <c r="I511" s="11"/>
      <c r="J511" s="11"/>
      <c r="K511" s="11"/>
      <c r="L511" s="15"/>
      <c r="M511" s="15"/>
      <c r="N511" s="15"/>
      <c r="O511" s="15"/>
      <c r="P511" s="15"/>
      <c r="Q511" s="11"/>
      <c r="R511" s="11"/>
      <c r="S511" s="11"/>
      <c r="T511" s="11"/>
      <c r="U511" s="15"/>
      <c r="V511" s="11"/>
      <c r="W511" s="11"/>
      <c r="X511" s="11"/>
      <c r="Y511" s="11"/>
      <c r="Z511" s="11"/>
    </row>
    <row r="512">
      <c r="A512" s="18"/>
      <c r="B512" s="11"/>
      <c r="C512" s="11"/>
      <c r="D512" s="11"/>
      <c r="E512" s="11"/>
      <c r="F512" s="11"/>
      <c r="G512" s="11"/>
      <c r="H512" s="11"/>
      <c r="I512" s="11"/>
      <c r="J512" s="11"/>
      <c r="K512" s="11"/>
      <c r="L512" s="15"/>
      <c r="M512" s="15"/>
      <c r="N512" s="15"/>
      <c r="O512" s="15"/>
      <c r="P512" s="15"/>
      <c r="Q512" s="11"/>
      <c r="R512" s="11"/>
      <c r="S512" s="11"/>
      <c r="T512" s="11"/>
      <c r="U512" s="15"/>
      <c r="V512" s="11"/>
      <c r="W512" s="11"/>
      <c r="X512" s="11"/>
      <c r="Y512" s="11"/>
      <c r="Z512" s="11"/>
    </row>
    <row r="513">
      <c r="A513" s="18"/>
      <c r="B513" s="11"/>
      <c r="C513" s="11"/>
      <c r="D513" s="11"/>
      <c r="E513" s="11"/>
      <c r="F513" s="11"/>
      <c r="G513" s="11"/>
      <c r="H513" s="11"/>
      <c r="I513" s="11"/>
      <c r="J513" s="11"/>
      <c r="K513" s="11"/>
      <c r="L513" s="15"/>
      <c r="M513" s="15"/>
      <c r="N513" s="15"/>
      <c r="O513" s="15"/>
      <c r="P513" s="15"/>
      <c r="Q513" s="11"/>
      <c r="R513" s="11"/>
      <c r="S513" s="11"/>
      <c r="T513" s="11"/>
      <c r="U513" s="15"/>
      <c r="V513" s="11"/>
      <c r="W513" s="11"/>
      <c r="X513" s="11"/>
      <c r="Y513" s="11"/>
      <c r="Z513" s="11"/>
    </row>
    <row r="514">
      <c r="A514" s="18"/>
      <c r="B514" s="11"/>
      <c r="C514" s="11"/>
      <c r="D514" s="11"/>
      <c r="E514" s="11"/>
      <c r="F514" s="11"/>
      <c r="G514" s="11"/>
      <c r="H514" s="11"/>
      <c r="I514" s="11"/>
      <c r="J514" s="11"/>
      <c r="K514" s="11"/>
      <c r="L514" s="15"/>
      <c r="M514" s="15"/>
      <c r="N514" s="15"/>
      <c r="O514" s="15"/>
      <c r="P514" s="15"/>
      <c r="Q514" s="11"/>
      <c r="R514" s="11"/>
      <c r="S514" s="11"/>
      <c r="T514" s="11"/>
      <c r="U514" s="15"/>
      <c r="V514" s="11"/>
      <c r="W514" s="11"/>
      <c r="X514" s="11"/>
      <c r="Y514" s="11"/>
      <c r="Z514" s="11"/>
    </row>
    <row r="515">
      <c r="A515" s="18"/>
      <c r="B515" s="11"/>
      <c r="C515" s="11"/>
      <c r="D515" s="11"/>
      <c r="E515" s="11"/>
      <c r="F515" s="11"/>
      <c r="G515" s="11"/>
      <c r="H515" s="11"/>
      <c r="I515" s="11"/>
      <c r="J515" s="11"/>
      <c r="K515" s="11"/>
      <c r="L515" s="15"/>
      <c r="M515" s="15"/>
      <c r="N515" s="15"/>
      <c r="O515" s="15"/>
      <c r="P515" s="15"/>
      <c r="Q515" s="11"/>
      <c r="R515" s="11"/>
      <c r="S515" s="11"/>
      <c r="T515" s="11"/>
      <c r="U515" s="15"/>
      <c r="V515" s="11"/>
      <c r="W515" s="11"/>
      <c r="X515" s="11"/>
      <c r="Y515" s="11"/>
      <c r="Z515" s="11"/>
    </row>
    <row r="516">
      <c r="A516" s="18"/>
      <c r="B516" s="11"/>
      <c r="C516" s="11"/>
      <c r="D516" s="11"/>
      <c r="E516" s="11"/>
      <c r="F516" s="11"/>
      <c r="G516" s="11"/>
      <c r="H516" s="11"/>
      <c r="I516" s="11"/>
      <c r="J516" s="11"/>
      <c r="K516" s="11"/>
      <c r="L516" s="15"/>
      <c r="M516" s="15"/>
      <c r="N516" s="15"/>
      <c r="O516" s="15"/>
      <c r="P516" s="15"/>
      <c r="Q516" s="11"/>
      <c r="R516" s="11"/>
      <c r="S516" s="11"/>
      <c r="T516" s="11"/>
      <c r="U516" s="15"/>
      <c r="V516" s="11"/>
      <c r="W516" s="11"/>
      <c r="X516" s="11"/>
      <c r="Y516" s="11"/>
      <c r="Z516" s="11"/>
    </row>
    <row r="517">
      <c r="A517" s="18"/>
      <c r="B517" s="11"/>
      <c r="C517" s="11"/>
      <c r="D517" s="11"/>
      <c r="E517" s="11"/>
      <c r="F517" s="11"/>
      <c r="G517" s="11"/>
      <c r="H517" s="11"/>
      <c r="I517" s="11"/>
      <c r="J517" s="11"/>
      <c r="K517" s="11"/>
      <c r="L517" s="15"/>
      <c r="M517" s="15"/>
      <c r="N517" s="15"/>
      <c r="O517" s="15"/>
      <c r="P517" s="15"/>
      <c r="Q517" s="11"/>
      <c r="R517" s="11"/>
      <c r="S517" s="11"/>
      <c r="T517" s="11"/>
      <c r="U517" s="15"/>
      <c r="V517" s="11"/>
      <c r="W517" s="11"/>
      <c r="X517" s="11"/>
      <c r="Y517" s="11"/>
      <c r="Z517" s="11"/>
    </row>
    <row r="518">
      <c r="A518" s="18"/>
      <c r="B518" s="11"/>
      <c r="C518" s="11"/>
      <c r="D518" s="11"/>
      <c r="E518" s="11"/>
      <c r="F518" s="11"/>
      <c r="G518" s="11"/>
      <c r="H518" s="11"/>
      <c r="I518" s="11"/>
      <c r="J518" s="11"/>
      <c r="K518" s="11"/>
      <c r="L518" s="15"/>
      <c r="M518" s="15"/>
      <c r="N518" s="15"/>
      <c r="O518" s="15"/>
      <c r="P518" s="15"/>
      <c r="Q518" s="11"/>
      <c r="R518" s="11"/>
      <c r="S518" s="11"/>
      <c r="T518" s="11"/>
      <c r="U518" s="15"/>
      <c r="V518" s="11"/>
      <c r="W518" s="11"/>
      <c r="X518" s="11"/>
      <c r="Y518" s="11"/>
      <c r="Z518" s="11"/>
    </row>
    <row r="519">
      <c r="A519" s="18"/>
      <c r="B519" s="11"/>
      <c r="C519" s="11"/>
      <c r="D519" s="11"/>
      <c r="E519" s="11"/>
      <c r="F519" s="11"/>
      <c r="G519" s="11"/>
      <c r="H519" s="11"/>
      <c r="I519" s="11"/>
      <c r="J519" s="11"/>
      <c r="K519" s="11"/>
      <c r="L519" s="15"/>
      <c r="M519" s="15"/>
      <c r="N519" s="15"/>
      <c r="O519" s="15"/>
      <c r="P519" s="15"/>
      <c r="Q519" s="11"/>
      <c r="R519" s="11"/>
      <c r="S519" s="11"/>
      <c r="T519" s="11"/>
      <c r="U519" s="15"/>
      <c r="V519" s="11"/>
      <c r="W519" s="11"/>
      <c r="X519" s="11"/>
      <c r="Y519" s="11"/>
      <c r="Z519" s="11"/>
    </row>
    <row r="520">
      <c r="A520" s="18"/>
      <c r="B520" s="11"/>
      <c r="C520" s="11"/>
      <c r="D520" s="11"/>
      <c r="E520" s="11"/>
      <c r="F520" s="11"/>
      <c r="G520" s="11"/>
      <c r="H520" s="11"/>
      <c r="I520" s="11"/>
      <c r="J520" s="11"/>
      <c r="K520" s="11"/>
      <c r="L520" s="15"/>
      <c r="M520" s="15"/>
      <c r="N520" s="15"/>
      <c r="O520" s="15"/>
      <c r="P520" s="15"/>
      <c r="Q520" s="11"/>
      <c r="R520" s="11"/>
      <c r="S520" s="11"/>
      <c r="T520" s="11"/>
      <c r="U520" s="15"/>
      <c r="V520" s="11"/>
      <c r="W520" s="11"/>
      <c r="X520" s="11"/>
      <c r="Y520" s="11"/>
      <c r="Z520" s="11"/>
    </row>
    <row r="521">
      <c r="A521" s="18"/>
      <c r="B521" s="11"/>
      <c r="C521" s="11"/>
      <c r="D521" s="11"/>
      <c r="E521" s="11"/>
      <c r="F521" s="11"/>
      <c r="G521" s="11"/>
      <c r="H521" s="11"/>
      <c r="I521" s="11"/>
      <c r="J521" s="11"/>
      <c r="K521" s="11"/>
      <c r="L521" s="15"/>
      <c r="M521" s="15"/>
      <c r="N521" s="15"/>
      <c r="O521" s="15"/>
      <c r="P521" s="15"/>
      <c r="Q521" s="11"/>
      <c r="R521" s="11"/>
      <c r="S521" s="11"/>
      <c r="T521" s="11"/>
      <c r="U521" s="15"/>
      <c r="V521" s="11"/>
      <c r="W521" s="11"/>
      <c r="X521" s="11"/>
      <c r="Y521" s="11"/>
      <c r="Z521" s="11"/>
    </row>
    <row r="522">
      <c r="A522" s="18"/>
      <c r="B522" s="11"/>
      <c r="C522" s="11"/>
      <c r="D522" s="11"/>
      <c r="E522" s="11"/>
      <c r="F522" s="11"/>
      <c r="G522" s="11"/>
      <c r="H522" s="11"/>
      <c r="I522" s="11"/>
      <c r="J522" s="11"/>
      <c r="K522" s="11"/>
      <c r="L522" s="15"/>
      <c r="M522" s="15"/>
      <c r="N522" s="15"/>
      <c r="O522" s="15"/>
      <c r="P522" s="15"/>
      <c r="Q522" s="11"/>
      <c r="R522" s="11"/>
      <c r="S522" s="11"/>
      <c r="T522" s="11"/>
      <c r="U522" s="15"/>
      <c r="V522" s="11"/>
      <c r="W522" s="11"/>
      <c r="X522" s="11"/>
      <c r="Y522" s="11"/>
      <c r="Z522" s="11"/>
    </row>
    <row r="523">
      <c r="A523" s="18"/>
      <c r="B523" s="11"/>
      <c r="C523" s="11"/>
      <c r="D523" s="11"/>
      <c r="E523" s="11"/>
      <c r="F523" s="11"/>
      <c r="G523" s="11"/>
      <c r="H523" s="11"/>
      <c r="I523" s="11"/>
      <c r="J523" s="11"/>
      <c r="K523" s="11"/>
      <c r="L523" s="15"/>
      <c r="M523" s="15"/>
      <c r="N523" s="15"/>
      <c r="O523" s="15"/>
      <c r="P523" s="15"/>
      <c r="Q523" s="11"/>
      <c r="R523" s="11"/>
      <c r="S523" s="11"/>
      <c r="T523" s="11"/>
      <c r="U523" s="15"/>
      <c r="V523" s="11"/>
      <c r="W523" s="11"/>
      <c r="X523" s="11"/>
      <c r="Y523" s="11"/>
      <c r="Z523" s="11"/>
    </row>
    <row r="524">
      <c r="A524" s="18"/>
      <c r="B524" s="11"/>
      <c r="C524" s="11"/>
      <c r="D524" s="11"/>
      <c r="E524" s="11"/>
      <c r="F524" s="11"/>
      <c r="G524" s="11"/>
      <c r="H524" s="11"/>
      <c r="I524" s="11"/>
      <c r="J524" s="11"/>
      <c r="K524" s="11"/>
      <c r="L524" s="15"/>
      <c r="M524" s="15"/>
      <c r="N524" s="15"/>
      <c r="O524" s="15"/>
      <c r="P524" s="15"/>
      <c r="Q524" s="11"/>
      <c r="R524" s="11"/>
      <c r="S524" s="11"/>
      <c r="T524" s="11"/>
      <c r="U524" s="15"/>
      <c r="V524" s="11"/>
      <c r="W524" s="11"/>
      <c r="X524" s="11"/>
      <c r="Y524" s="11"/>
      <c r="Z524" s="11"/>
    </row>
    <row r="525">
      <c r="A525" s="18"/>
      <c r="B525" s="11"/>
      <c r="C525" s="11"/>
      <c r="D525" s="11"/>
      <c r="E525" s="11"/>
      <c r="F525" s="11"/>
      <c r="G525" s="11"/>
      <c r="H525" s="11"/>
      <c r="I525" s="11"/>
      <c r="J525" s="11"/>
      <c r="K525" s="11"/>
      <c r="L525" s="15"/>
      <c r="M525" s="15"/>
      <c r="N525" s="15"/>
      <c r="O525" s="15"/>
      <c r="P525" s="15"/>
      <c r="Q525" s="11"/>
      <c r="R525" s="11"/>
      <c r="S525" s="11"/>
      <c r="T525" s="11"/>
      <c r="U525" s="15"/>
      <c r="V525" s="11"/>
      <c r="W525" s="11"/>
      <c r="X525" s="11"/>
      <c r="Y525" s="11"/>
      <c r="Z525" s="11"/>
    </row>
    <row r="526">
      <c r="A526" s="18"/>
      <c r="B526" s="11"/>
      <c r="C526" s="11"/>
      <c r="D526" s="11"/>
      <c r="E526" s="11"/>
      <c r="F526" s="11"/>
      <c r="G526" s="11"/>
      <c r="H526" s="11"/>
      <c r="I526" s="11"/>
      <c r="J526" s="11"/>
      <c r="K526" s="11"/>
      <c r="L526" s="15"/>
      <c r="M526" s="15"/>
      <c r="N526" s="15"/>
      <c r="O526" s="15"/>
      <c r="P526" s="15"/>
      <c r="Q526" s="11"/>
      <c r="R526" s="11"/>
      <c r="S526" s="11"/>
      <c r="T526" s="11"/>
      <c r="U526" s="15"/>
      <c r="V526" s="11"/>
      <c r="W526" s="11"/>
      <c r="X526" s="11"/>
      <c r="Y526" s="11"/>
      <c r="Z526" s="11"/>
    </row>
    <row r="527">
      <c r="A527" s="18"/>
      <c r="B527" s="11"/>
      <c r="C527" s="11"/>
      <c r="D527" s="11"/>
      <c r="E527" s="11"/>
      <c r="F527" s="11"/>
      <c r="G527" s="11"/>
      <c r="H527" s="11"/>
      <c r="I527" s="11"/>
      <c r="J527" s="11"/>
      <c r="K527" s="11"/>
      <c r="L527" s="15"/>
      <c r="M527" s="15"/>
      <c r="N527" s="15"/>
      <c r="O527" s="15"/>
      <c r="P527" s="15"/>
      <c r="Q527" s="11"/>
      <c r="R527" s="11"/>
      <c r="S527" s="11"/>
      <c r="T527" s="11"/>
      <c r="U527" s="15"/>
      <c r="V527" s="11"/>
      <c r="W527" s="11"/>
      <c r="X527" s="11"/>
      <c r="Y527" s="11"/>
      <c r="Z527" s="11"/>
    </row>
    <row r="528">
      <c r="A528" s="18"/>
      <c r="B528" s="11"/>
      <c r="C528" s="11"/>
      <c r="D528" s="11"/>
      <c r="E528" s="11"/>
      <c r="F528" s="11"/>
      <c r="G528" s="11"/>
      <c r="H528" s="11"/>
      <c r="I528" s="11"/>
      <c r="J528" s="11"/>
      <c r="K528" s="11"/>
      <c r="L528" s="15"/>
      <c r="M528" s="15"/>
      <c r="N528" s="15"/>
      <c r="O528" s="15"/>
      <c r="P528" s="15"/>
      <c r="Q528" s="11"/>
      <c r="R528" s="11"/>
      <c r="S528" s="11"/>
      <c r="T528" s="11"/>
      <c r="U528" s="15"/>
      <c r="V528" s="11"/>
      <c r="W528" s="11"/>
      <c r="X528" s="11"/>
      <c r="Y528" s="11"/>
      <c r="Z528" s="11"/>
    </row>
    <row r="529">
      <c r="A529" s="18"/>
      <c r="B529" s="11"/>
      <c r="C529" s="11"/>
      <c r="D529" s="11"/>
      <c r="E529" s="11"/>
      <c r="F529" s="11"/>
      <c r="G529" s="11"/>
      <c r="H529" s="11"/>
      <c r="I529" s="11"/>
      <c r="J529" s="11"/>
      <c r="K529" s="11"/>
      <c r="L529" s="15"/>
      <c r="M529" s="15"/>
      <c r="N529" s="15"/>
      <c r="O529" s="15"/>
      <c r="P529" s="15"/>
      <c r="Q529" s="11"/>
      <c r="R529" s="11"/>
      <c r="S529" s="11"/>
      <c r="T529" s="11"/>
      <c r="U529" s="15"/>
      <c r="V529" s="11"/>
      <c r="W529" s="11"/>
      <c r="X529" s="11"/>
      <c r="Y529" s="11"/>
      <c r="Z529" s="11"/>
    </row>
    <row r="530">
      <c r="A530" s="18"/>
      <c r="B530" s="11"/>
      <c r="C530" s="11"/>
      <c r="D530" s="11"/>
      <c r="E530" s="11"/>
      <c r="F530" s="11"/>
      <c r="G530" s="11"/>
      <c r="H530" s="11"/>
      <c r="I530" s="11"/>
      <c r="J530" s="11"/>
      <c r="K530" s="11"/>
      <c r="L530" s="15"/>
      <c r="M530" s="15"/>
      <c r="N530" s="15"/>
      <c r="O530" s="15"/>
      <c r="P530" s="15"/>
      <c r="Q530" s="11"/>
      <c r="R530" s="11"/>
      <c r="S530" s="11"/>
      <c r="T530" s="11"/>
      <c r="U530" s="15"/>
      <c r="V530" s="11"/>
      <c r="W530" s="11"/>
      <c r="X530" s="11"/>
      <c r="Y530" s="11"/>
      <c r="Z530" s="11"/>
    </row>
    <row r="531">
      <c r="A531" s="18"/>
      <c r="B531" s="11"/>
      <c r="C531" s="11"/>
      <c r="D531" s="11"/>
      <c r="E531" s="11"/>
      <c r="F531" s="11"/>
      <c r="G531" s="11"/>
      <c r="H531" s="11"/>
      <c r="I531" s="11"/>
      <c r="J531" s="11"/>
      <c r="K531" s="11"/>
      <c r="L531" s="15"/>
      <c r="M531" s="15"/>
      <c r="N531" s="15"/>
      <c r="O531" s="15"/>
      <c r="P531" s="15"/>
      <c r="Q531" s="11"/>
      <c r="R531" s="11"/>
      <c r="S531" s="11"/>
      <c r="T531" s="11"/>
      <c r="U531" s="15"/>
      <c r="V531" s="11"/>
      <c r="W531" s="11"/>
      <c r="X531" s="11"/>
      <c r="Y531" s="11"/>
      <c r="Z531" s="11"/>
    </row>
    <row r="532">
      <c r="A532" s="18"/>
      <c r="B532" s="11"/>
      <c r="C532" s="11"/>
      <c r="D532" s="11"/>
      <c r="E532" s="11"/>
      <c r="F532" s="11"/>
      <c r="G532" s="11"/>
      <c r="H532" s="11"/>
      <c r="I532" s="11"/>
      <c r="J532" s="11"/>
      <c r="K532" s="11"/>
      <c r="L532" s="15"/>
      <c r="M532" s="15"/>
      <c r="N532" s="15"/>
      <c r="O532" s="15"/>
      <c r="P532" s="15"/>
      <c r="Q532" s="11"/>
      <c r="R532" s="11"/>
      <c r="S532" s="11"/>
      <c r="T532" s="11"/>
      <c r="U532" s="15"/>
      <c r="V532" s="11"/>
      <c r="W532" s="11"/>
      <c r="X532" s="11"/>
      <c r="Y532" s="11"/>
      <c r="Z532" s="11"/>
    </row>
    <row r="533">
      <c r="A533" s="18"/>
      <c r="B533" s="11"/>
      <c r="C533" s="11"/>
      <c r="D533" s="11"/>
      <c r="E533" s="11"/>
      <c r="F533" s="11"/>
      <c r="G533" s="11"/>
      <c r="H533" s="11"/>
      <c r="I533" s="11"/>
      <c r="J533" s="11"/>
      <c r="K533" s="11"/>
      <c r="L533" s="15"/>
      <c r="M533" s="15"/>
      <c r="N533" s="15"/>
      <c r="O533" s="15"/>
      <c r="P533" s="15"/>
      <c r="Q533" s="11"/>
      <c r="R533" s="11"/>
      <c r="S533" s="11"/>
      <c r="T533" s="11"/>
      <c r="U533" s="15"/>
      <c r="V533" s="11"/>
      <c r="W533" s="11"/>
      <c r="X533" s="11"/>
      <c r="Y533" s="11"/>
      <c r="Z533" s="11"/>
    </row>
    <row r="534">
      <c r="A534" s="18"/>
      <c r="B534" s="11"/>
      <c r="C534" s="11"/>
      <c r="D534" s="11"/>
      <c r="E534" s="11"/>
      <c r="F534" s="11"/>
      <c r="G534" s="11"/>
      <c r="H534" s="11"/>
      <c r="I534" s="11"/>
      <c r="J534" s="11"/>
      <c r="K534" s="11"/>
      <c r="L534" s="15"/>
      <c r="M534" s="15"/>
      <c r="N534" s="15"/>
      <c r="O534" s="15"/>
      <c r="P534" s="15"/>
      <c r="Q534" s="11"/>
      <c r="R534" s="11"/>
      <c r="S534" s="11"/>
      <c r="T534" s="11"/>
      <c r="U534" s="15"/>
      <c r="V534" s="11"/>
      <c r="W534" s="11"/>
      <c r="X534" s="11"/>
      <c r="Y534" s="11"/>
      <c r="Z534" s="11"/>
    </row>
    <row r="535">
      <c r="A535" s="18"/>
      <c r="B535" s="11"/>
      <c r="C535" s="11"/>
      <c r="D535" s="11"/>
      <c r="E535" s="11"/>
      <c r="F535" s="11"/>
      <c r="G535" s="11"/>
      <c r="H535" s="11"/>
      <c r="I535" s="11"/>
      <c r="J535" s="11"/>
      <c r="K535" s="11"/>
      <c r="L535" s="15"/>
      <c r="M535" s="15"/>
      <c r="N535" s="15"/>
      <c r="O535" s="15"/>
      <c r="P535" s="15"/>
      <c r="Q535" s="11"/>
      <c r="R535" s="11"/>
      <c r="S535" s="11"/>
      <c r="T535" s="11"/>
      <c r="U535" s="15"/>
      <c r="V535" s="11"/>
      <c r="W535" s="11"/>
      <c r="X535" s="11"/>
      <c r="Y535" s="11"/>
      <c r="Z535" s="11"/>
    </row>
    <row r="536">
      <c r="A536" s="18"/>
      <c r="B536" s="11"/>
      <c r="C536" s="11"/>
      <c r="D536" s="11"/>
      <c r="E536" s="11"/>
      <c r="F536" s="11"/>
      <c r="G536" s="11"/>
      <c r="H536" s="11"/>
      <c r="I536" s="11"/>
      <c r="J536" s="11"/>
      <c r="K536" s="11"/>
      <c r="L536" s="15"/>
      <c r="M536" s="15"/>
      <c r="N536" s="15"/>
      <c r="O536" s="15"/>
      <c r="P536" s="15"/>
      <c r="Q536" s="11"/>
      <c r="R536" s="11"/>
      <c r="S536" s="11"/>
      <c r="T536" s="11"/>
      <c r="U536" s="15"/>
      <c r="V536" s="11"/>
      <c r="W536" s="11"/>
      <c r="X536" s="11"/>
      <c r="Y536" s="11"/>
      <c r="Z536" s="11"/>
    </row>
    <row r="537">
      <c r="A537" s="18"/>
      <c r="B537" s="11"/>
      <c r="C537" s="11"/>
      <c r="D537" s="11"/>
      <c r="E537" s="11"/>
      <c r="F537" s="11"/>
      <c r="G537" s="11"/>
      <c r="H537" s="11"/>
      <c r="I537" s="11"/>
      <c r="J537" s="11"/>
      <c r="K537" s="11"/>
      <c r="L537" s="15"/>
      <c r="M537" s="15"/>
      <c r="N537" s="15"/>
      <c r="O537" s="15"/>
      <c r="P537" s="15"/>
      <c r="Q537" s="11"/>
      <c r="R537" s="11"/>
      <c r="S537" s="11"/>
      <c r="T537" s="11"/>
      <c r="U537" s="15"/>
      <c r="V537" s="11"/>
      <c r="W537" s="11"/>
      <c r="X537" s="11"/>
      <c r="Y537" s="11"/>
      <c r="Z537" s="11"/>
    </row>
    <row r="538">
      <c r="A538" s="18"/>
      <c r="B538" s="11"/>
      <c r="C538" s="11"/>
      <c r="D538" s="11"/>
      <c r="E538" s="11"/>
      <c r="F538" s="11"/>
      <c r="G538" s="11"/>
      <c r="H538" s="11"/>
      <c r="I538" s="11"/>
      <c r="J538" s="11"/>
      <c r="K538" s="11"/>
      <c r="L538" s="15"/>
      <c r="M538" s="15"/>
      <c r="N538" s="15"/>
      <c r="O538" s="15"/>
      <c r="P538" s="15"/>
      <c r="Q538" s="11"/>
      <c r="R538" s="11"/>
      <c r="S538" s="11"/>
      <c r="T538" s="11"/>
      <c r="U538" s="15"/>
      <c r="V538" s="11"/>
      <c r="W538" s="11"/>
      <c r="X538" s="11"/>
      <c r="Y538" s="11"/>
      <c r="Z538" s="11"/>
    </row>
    <row r="539">
      <c r="A539" s="18"/>
      <c r="B539" s="11"/>
      <c r="C539" s="11"/>
      <c r="D539" s="11"/>
      <c r="E539" s="11"/>
      <c r="F539" s="11"/>
      <c r="G539" s="11"/>
      <c r="H539" s="11"/>
      <c r="I539" s="11"/>
      <c r="J539" s="11"/>
      <c r="K539" s="11"/>
      <c r="L539" s="15"/>
      <c r="M539" s="15"/>
      <c r="N539" s="15"/>
      <c r="O539" s="15"/>
      <c r="P539" s="15"/>
      <c r="Q539" s="11"/>
      <c r="R539" s="11"/>
      <c r="S539" s="11"/>
      <c r="T539" s="11"/>
      <c r="U539" s="15"/>
      <c r="V539" s="11"/>
      <c r="W539" s="11"/>
      <c r="X539" s="11"/>
      <c r="Y539" s="11"/>
      <c r="Z539" s="11"/>
    </row>
    <row r="540">
      <c r="A540" s="18"/>
      <c r="B540" s="11"/>
      <c r="C540" s="11"/>
      <c r="D540" s="11"/>
      <c r="E540" s="11"/>
      <c r="F540" s="11"/>
      <c r="G540" s="11"/>
      <c r="H540" s="11"/>
      <c r="I540" s="11"/>
      <c r="J540" s="11"/>
      <c r="K540" s="11"/>
      <c r="L540" s="15"/>
      <c r="M540" s="15"/>
      <c r="N540" s="15"/>
      <c r="O540" s="15"/>
      <c r="P540" s="15"/>
      <c r="Q540" s="11"/>
      <c r="R540" s="11"/>
      <c r="S540" s="11"/>
      <c r="T540" s="11"/>
      <c r="U540" s="15"/>
      <c r="V540" s="11"/>
      <c r="W540" s="11"/>
      <c r="X540" s="11"/>
      <c r="Y540" s="11"/>
      <c r="Z540" s="11"/>
    </row>
    <row r="541">
      <c r="A541" s="18"/>
      <c r="B541" s="11"/>
      <c r="C541" s="11"/>
      <c r="D541" s="11"/>
      <c r="E541" s="11"/>
      <c r="F541" s="11"/>
      <c r="G541" s="11"/>
      <c r="H541" s="11"/>
      <c r="I541" s="11"/>
      <c r="J541" s="11"/>
      <c r="K541" s="11"/>
      <c r="L541" s="15"/>
      <c r="M541" s="15"/>
      <c r="N541" s="15"/>
      <c r="O541" s="15"/>
      <c r="P541" s="15"/>
      <c r="Q541" s="11"/>
      <c r="R541" s="11"/>
      <c r="S541" s="11"/>
      <c r="T541" s="11"/>
      <c r="U541" s="15"/>
      <c r="V541" s="11"/>
      <c r="W541" s="11"/>
      <c r="X541" s="11"/>
      <c r="Y541" s="11"/>
      <c r="Z541" s="11"/>
    </row>
    <row r="542">
      <c r="A542" s="18"/>
      <c r="B542" s="11"/>
      <c r="C542" s="11"/>
      <c r="D542" s="11"/>
      <c r="E542" s="11"/>
      <c r="F542" s="11"/>
      <c r="G542" s="11"/>
      <c r="H542" s="11"/>
      <c r="I542" s="11"/>
      <c r="J542" s="11"/>
      <c r="K542" s="11"/>
      <c r="L542" s="15"/>
      <c r="M542" s="15"/>
      <c r="N542" s="15"/>
      <c r="O542" s="15"/>
      <c r="P542" s="15"/>
      <c r="Q542" s="11"/>
      <c r="R542" s="11"/>
      <c r="S542" s="11"/>
      <c r="T542" s="11"/>
      <c r="U542" s="15"/>
      <c r="V542" s="11"/>
      <c r="W542" s="11"/>
      <c r="X542" s="11"/>
      <c r="Y542" s="11"/>
      <c r="Z542" s="11"/>
    </row>
    <row r="543">
      <c r="A543" s="18"/>
      <c r="B543" s="11"/>
      <c r="C543" s="11"/>
      <c r="D543" s="11"/>
      <c r="E543" s="11"/>
      <c r="F543" s="11"/>
      <c r="G543" s="11"/>
      <c r="H543" s="11"/>
      <c r="I543" s="11"/>
      <c r="J543" s="11"/>
      <c r="K543" s="11"/>
      <c r="L543" s="15"/>
      <c r="M543" s="15"/>
      <c r="N543" s="15"/>
      <c r="O543" s="15"/>
      <c r="P543" s="15"/>
      <c r="Q543" s="11"/>
      <c r="R543" s="11"/>
      <c r="S543" s="11"/>
      <c r="T543" s="11"/>
      <c r="U543" s="15"/>
      <c r="V543" s="11"/>
      <c r="W543" s="11"/>
      <c r="X543" s="11"/>
      <c r="Y543" s="11"/>
      <c r="Z543" s="11"/>
    </row>
    <row r="544">
      <c r="A544" s="18"/>
      <c r="B544" s="11"/>
      <c r="C544" s="11"/>
      <c r="D544" s="11"/>
      <c r="E544" s="11"/>
      <c r="F544" s="11"/>
      <c r="G544" s="11"/>
      <c r="H544" s="11"/>
      <c r="I544" s="11"/>
      <c r="J544" s="11"/>
      <c r="K544" s="11"/>
      <c r="L544" s="15"/>
      <c r="M544" s="15"/>
      <c r="N544" s="15"/>
      <c r="O544" s="15"/>
      <c r="P544" s="15"/>
      <c r="Q544" s="11"/>
      <c r="R544" s="11"/>
      <c r="S544" s="11"/>
      <c r="T544" s="11"/>
      <c r="U544" s="15"/>
      <c r="V544" s="11"/>
      <c r="W544" s="11"/>
      <c r="X544" s="11"/>
      <c r="Y544" s="11"/>
      <c r="Z544" s="11"/>
    </row>
    <row r="545">
      <c r="A545" s="18"/>
      <c r="B545" s="11"/>
      <c r="C545" s="11"/>
      <c r="D545" s="11"/>
      <c r="E545" s="11"/>
      <c r="F545" s="11"/>
      <c r="G545" s="11"/>
      <c r="H545" s="11"/>
      <c r="I545" s="11"/>
      <c r="J545" s="11"/>
      <c r="K545" s="11"/>
      <c r="L545" s="15"/>
      <c r="M545" s="15"/>
      <c r="N545" s="15"/>
      <c r="O545" s="15"/>
      <c r="P545" s="15"/>
      <c r="Q545" s="11"/>
      <c r="R545" s="11"/>
      <c r="S545" s="11"/>
      <c r="T545" s="11"/>
      <c r="U545" s="15"/>
      <c r="V545" s="11"/>
      <c r="W545" s="11"/>
      <c r="X545" s="11"/>
      <c r="Y545" s="11"/>
      <c r="Z545" s="11"/>
    </row>
    <row r="546">
      <c r="A546" s="18"/>
      <c r="B546" s="11"/>
      <c r="C546" s="11"/>
      <c r="D546" s="11"/>
      <c r="E546" s="11"/>
      <c r="F546" s="11"/>
      <c r="G546" s="11"/>
      <c r="H546" s="11"/>
      <c r="I546" s="11"/>
      <c r="J546" s="11"/>
      <c r="K546" s="11"/>
      <c r="L546" s="15"/>
      <c r="M546" s="15"/>
      <c r="N546" s="15"/>
      <c r="O546" s="15"/>
      <c r="P546" s="15"/>
      <c r="Q546" s="11"/>
      <c r="R546" s="11"/>
      <c r="S546" s="11"/>
      <c r="T546" s="11"/>
      <c r="U546" s="15"/>
      <c r="V546" s="11"/>
      <c r="W546" s="11"/>
      <c r="X546" s="11"/>
      <c r="Y546" s="11"/>
      <c r="Z546" s="11"/>
    </row>
    <row r="547">
      <c r="A547" s="18"/>
      <c r="B547" s="11"/>
      <c r="C547" s="11"/>
      <c r="D547" s="11"/>
      <c r="E547" s="11"/>
      <c r="F547" s="11"/>
      <c r="G547" s="11"/>
      <c r="H547" s="11"/>
      <c r="I547" s="11"/>
      <c r="J547" s="11"/>
      <c r="K547" s="11"/>
      <c r="L547" s="15"/>
      <c r="M547" s="15"/>
      <c r="N547" s="15"/>
      <c r="O547" s="15"/>
      <c r="P547" s="15"/>
      <c r="Q547" s="11"/>
      <c r="R547" s="11"/>
      <c r="S547" s="11"/>
      <c r="T547" s="11"/>
      <c r="U547" s="15"/>
      <c r="V547" s="11"/>
      <c r="W547" s="11"/>
      <c r="X547" s="11"/>
      <c r="Y547" s="11"/>
      <c r="Z547" s="11"/>
    </row>
    <row r="548">
      <c r="A548" s="18"/>
      <c r="B548" s="11"/>
      <c r="C548" s="11"/>
      <c r="D548" s="11"/>
      <c r="E548" s="11"/>
      <c r="F548" s="11"/>
      <c r="G548" s="11"/>
      <c r="H548" s="11"/>
      <c r="I548" s="11"/>
      <c r="J548" s="11"/>
      <c r="K548" s="11"/>
      <c r="L548" s="15"/>
      <c r="M548" s="15"/>
      <c r="N548" s="15"/>
      <c r="O548" s="15"/>
      <c r="P548" s="15"/>
      <c r="Q548" s="11"/>
      <c r="R548" s="11"/>
      <c r="S548" s="11"/>
      <c r="T548" s="11"/>
      <c r="U548" s="15"/>
      <c r="V548" s="11"/>
      <c r="W548" s="11"/>
      <c r="X548" s="11"/>
      <c r="Y548" s="11"/>
      <c r="Z548" s="11"/>
    </row>
    <row r="549">
      <c r="A549" s="18"/>
      <c r="B549" s="11"/>
      <c r="C549" s="11"/>
      <c r="D549" s="11"/>
      <c r="E549" s="11"/>
      <c r="F549" s="11"/>
      <c r="G549" s="11"/>
      <c r="H549" s="11"/>
      <c r="I549" s="11"/>
      <c r="J549" s="11"/>
      <c r="K549" s="11"/>
      <c r="L549" s="15"/>
      <c r="M549" s="15"/>
      <c r="N549" s="15"/>
      <c r="O549" s="15"/>
      <c r="P549" s="15"/>
      <c r="Q549" s="11"/>
      <c r="R549" s="11"/>
      <c r="S549" s="11"/>
      <c r="T549" s="11"/>
      <c r="U549" s="15"/>
      <c r="V549" s="11"/>
      <c r="W549" s="11"/>
      <c r="X549" s="11"/>
      <c r="Y549" s="11"/>
      <c r="Z549" s="11"/>
    </row>
    <row r="550">
      <c r="A550" s="18"/>
      <c r="B550" s="11"/>
      <c r="C550" s="11"/>
      <c r="D550" s="11"/>
      <c r="E550" s="11"/>
      <c r="F550" s="11"/>
      <c r="G550" s="11"/>
      <c r="H550" s="11"/>
      <c r="I550" s="11"/>
      <c r="J550" s="11"/>
      <c r="K550" s="11"/>
      <c r="L550" s="15"/>
      <c r="M550" s="15"/>
      <c r="N550" s="15"/>
      <c r="O550" s="15"/>
      <c r="P550" s="15"/>
      <c r="Q550" s="11"/>
      <c r="R550" s="11"/>
      <c r="S550" s="11"/>
      <c r="T550" s="11"/>
      <c r="U550" s="15"/>
      <c r="V550" s="11"/>
      <c r="W550" s="11"/>
      <c r="X550" s="11"/>
      <c r="Y550" s="11"/>
      <c r="Z550" s="11"/>
    </row>
    <row r="551">
      <c r="A551" s="18"/>
      <c r="B551" s="11"/>
      <c r="C551" s="11"/>
      <c r="D551" s="11"/>
      <c r="E551" s="11"/>
      <c r="F551" s="11"/>
      <c r="G551" s="11"/>
      <c r="H551" s="11"/>
      <c r="I551" s="11"/>
      <c r="J551" s="11"/>
      <c r="K551" s="11"/>
      <c r="L551" s="15"/>
      <c r="M551" s="15"/>
      <c r="N551" s="15"/>
      <c r="O551" s="15"/>
      <c r="P551" s="15"/>
      <c r="Q551" s="11"/>
      <c r="R551" s="11"/>
      <c r="S551" s="11"/>
      <c r="T551" s="11"/>
      <c r="U551" s="15"/>
      <c r="V551" s="11"/>
      <c r="W551" s="11"/>
      <c r="X551" s="11"/>
      <c r="Y551" s="11"/>
      <c r="Z551" s="11"/>
    </row>
    <row r="552">
      <c r="A552" s="18"/>
      <c r="B552" s="11"/>
      <c r="C552" s="11"/>
      <c r="D552" s="11"/>
      <c r="E552" s="11"/>
      <c r="F552" s="11"/>
      <c r="G552" s="11"/>
      <c r="H552" s="11"/>
      <c r="I552" s="11"/>
      <c r="J552" s="11"/>
      <c r="K552" s="11"/>
      <c r="L552" s="15"/>
      <c r="M552" s="15"/>
      <c r="N552" s="15"/>
      <c r="O552" s="15"/>
      <c r="P552" s="15"/>
      <c r="Q552" s="11"/>
      <c r="R552" s="11"/>
      <c r="S552" s="11"/>
      <c r="T552" s="11"/>
      <c r="U552" s="15"/>
      <c r="V552" s="11"/>
      <c r="W552" s="11"/>
      <c r="X552" s="11"/>
      <c r="Y552" s="11"/>
      <c r="Z552" s="11"/>
    </row>
    <row r="553">
      <c r="A553" s="18"/>
      <c r="B553" s="11"/>
      <c r="C553" s="11"/>
      <c r="D553" s="11"/>
      <c r="E553" s="11"/>
      <c r="F553" s="11"/>
      <c r="G553" s="11"/>
      <c r="H553" s="11"/>
      <c r="I553" s="11"/>
      <c r="J553" s="11"/>
      <c r="K553" s="11"/>
      <c r="L553" s="15"/>
      <c r="M553" s="15"/>
      <c r="N553" s="15"/>
      <c r="O553" s="15"/>
      <c r="P553" s="15"/>
      <c r="Q553" s="11"/>
      <c r="R553" s="11"/>
      <c r="S553" s="11"/>
      <c r="T553" s="11"/>
      <c r="U553" s="15"/>
      <c r="V553" s="11"/>
      <c r="W553" s="11"/>
      <c r="X553" s="11"/>
      <c r="Y553" s="11"/>
      <c r="Z553" s="11"/>
    </row>
    <row r="554">
      <c r="A554" s="18"/>
      <c r="B554" s="11"/>
      <c r="C554" s="11"/>
      <c r="D554" s="11"/>
      <c r="E554" s="11"/>
      <c r="F554" s="11"/>
      <c r="G554" s="11"/>
      <c r="H554" s="11"/>
      <c r="I554" s="11"/>
      <c r="J554" s="11"/>
      <c r="K554" s="11"/>
      <c r="L554" s="15"/>
      <c r="M554" s="15"/>
      <c r="N554" s="15"/>
      <c r="O554" s="15"/>
      <c r="P554" s="15"/>
      <c r="Q554" s="11"/>
      <c r="R554" s="11"/>
      <c r="S554" s="11"/>
      <c r="T554" s="11"/>
      <c r="U554" s="15"/>
      <c r="V554" s="11"/>
      <c r="W554" s="11"/>
      <c r="X554" s="11"/>
      <c r="Y554" s="11"/>
      <c r="Z554" s="11"/>
    </row>
    <row r="555">
      <c r="A555" s="18"/>
      <c r="B555" s="11"/>
      <c r="C555" s="11"/>
      <c r="D555" s="11"/>
      <c r="E555" s="11"/>
      <c r="F555" s="11"/>
      <c r="G555" s="11"/>
      <c r="H555" s="11"/>
      <c r="I555" s="11"/>
      <c r="J555" s="11"/>
      <c r="K555" s="11"/>
      <c r="L555" s="15"/>
      <c r="M555" s="15"/>
      <c r="N555" s="15"/>
      <c r="O555" s="15"/>
      <c r="P555" s="15"/>
      <c r="Q555" s="11"/>
      <c r="R555" s="11"/>
      <c r="S555" s="11"/>
      <c r="T555" s="11"/>
      <c r="U555" s="15"/>
      <c r="V555" s="11"/>
      <c r="W555" s="11"/>
      <c r="X555" s="11"/>
      <c r="Y555" s="11"/>
      <c r="Z555" s="11"/>
    </row>
    <row r="556">
      <c r="A556" s="18"/>
      <c r="B556" s="11"/>
      <c r="C556" s="11"/>
      <c r="D556" s="11"/>
      <c r="E556" s="11"/>
      <c r="F556" s="11"/>
      <c r="G556" s="11"/>
      <c r="H556" s="11"/>
      <c r="I556" s="11"/>
      <c r="J556" s="11"/>
      <c r="K556" s="11"/>
      <c r="L556" s="15"/>
      <c r="M556" s="15"/>
      <c r="N556" s="15"/>
      <c r="O556" s="15"/>
      <c r="P556" s="15"/>
      <c r="Q556" s="11"/>
      <c r="R556" s="11"/>
      <c r="S556" s="11"/>
      <c r="T556" s="11"/>
      <c r="U556" s="15"/>
      <c r="V556" s="11"/>
      <c r="W556" s="11"/>
      <c r="X556" s="11"/>
      <c r="Y556" s="11"/>
      <c r="Z556" s="11"/>
    </row>
    <row r="557">
      <c r="A557" s="18"/>
      <c r="B557" s="11"/>
      <c r="C557" s="11"/>
      <c r="D557" s="11"/>
      <c r="E557" s="11"/>
      <c r="F557" s="11"/>
      <c r="G557" s="11"/>
      <c r="H557" s="11"/>
      <c r="I557" s="11"/>
      <c r="J557" s="11"/>
      <c r="K557" s="11"/>
      <c r="L557" s="15"/>
      <c r="M557" s="15"/>
      <c r="N557" s="15"/>
      <c r="O557" s="15"/>
      <c r="P557" s="15"/>
      <c r="Q557" s="11"/>
      <c r="R557" s="11"/>
      <c r="S557" s="11"/>
      <c r="T557" s="11"/>
      <c r="U557" s="15"/>
      <c r="V557" s="11"/>
      <c r="W557" s="11"/>
      <c r="X557" s="11"/>
      <c r="Y557" s="11"/>
      <c r="Z557" s="11"/>
    </row>
    <row r="558">
      <c r="A558" s="18"/>
      <c r="B558" s="11"/>
      <c r="C558" s="11"/>
      <c r="D558" s="11"/>
      <c r="E558" s="11"/>
      <c r="F558" s="11"/>
      <c r="G558" s="11"/>
      <c r="H558" s="11"/>
      <c r="I558" s="11"/>
      <c r="J558" s="11"/>
      <c r="K558" s="11"/>
      <c r="L558" s="15"/>
      <c r="M558" s="15"/>
      <c r="N558" s="15"/>
      <c r="O558" s="15"/>
      <c r="P558" s="15"/>
      <c r="Q558" s="11"/>
      <c r="R558" s="11"/>
      <c r="S558" s="11"/>
      <c r="T558" s="11"/>
      <c r="U558" s="15"/>
      <c r="V558" s="11"/>
      <c r="W558" s="11"/>
      <c r="X558" s="11"/>
      <c r="Y558" s="11"/>
      <c r="Z558" s="11"/>
    </row>
    <row r="559">
      <c r="A559" s="18"/>
      <c r="B559" s="11"/>
      <c r="C559" s="11"/>
      <c r="D559" s="11"/>
      <c r="E559" s="11"/>
      <c r="F559" s="11"/>
      <c r="G559" s="11"/>
      <c r="H559" s="11"/>
      <c r="I559" s="11"/>
      <c r="J559" s="11"/>
      <c r="K559" s="11"/>
      <c r="L559" s="15"/>
      <c r="M559" s="15"/>
      <c r="N559" s="15"/>
      <c r="O559" s="15"/>
      <c r="P559" s="15"/>
      <c r="Q559" s="11"/>
      <c r="R559" s="11"/>
      <c r="S559" s="11"/>
      <c r="T559" s="11"/>
      <c r="U559" s="15"/>
      <c r="V559" s="11"/>
      <c r="W559" s="11"/>
      <c r="X559" s="11"/>
      <c r="Y559" s="11"/>
      <c r="Z559" s="11"/>
    </row>
    <row r="560">
      <c r="A560" s="18"/>
      <c r="B560" s="11"/>
      <c r="C560" s="11"/>
      <c r="D560" s="11"/>
      <c r="E560" s="11"/>
      <c r="F560" s="11"/>
      <c r="G560" s="11"/>
      <c r="H560" s="11"/>
      <c r="I560" s="11"/>
      <c r="J560" s="11"/>
      <c r="K560" s="11"/>
      <c r="L560" s="15"/>
      <c r="M560" s="15"/>
      <c r="N560" s="15"/>
      <c r="O560" s="15"/>
      <c r="P560" s="15"/>
      <c r="Q560" s="11"/>
      <c r="R560" s="11"/>
      <c r="S560" s="11"/>
      <c r="T560" s="11"/>
      <c r="U560" s="15"/>
      <c r="V560" s="11"/>
      <c r="W560" s="11"/>
      <c r="X560" s="11"/>
      <c r="Y560" s="11"/>
      <c r="Z560" s="11"/>
    </row>
    <row r="561">
      <c r="A561" s="18"/>
      <c r="B561" s="11"/>
      <c r="C561" s="11"/>
      <c r="D561" s="11"/>
      <c r="E561" s="11"/>
      <c r="F561" s="11"/>
      <c r="G561" s="11"/>
      <c r="H561" s="11"/>
      <c r="I561" s="11"/>
      <c r="J561" s="11"/>
      <c r="K561" s="11"/>
      <c r="L561" s="15"/>
      <c r="M561" s="15"/>
      <c r="N561" s="15"/>
      <c r="O561" s="15"/>
      <c r="P561" s="15"/>
      <c r="Q561" s="11"/>
      <c r="R561" s="11"/>
      <c r="S561" s="11"/>
      <c r="T561" s="11"/>
      <c r="U561" s="15"/>
      <c r="V561" s="11"/>
      <c r="W561" s="11"/>
      <c r="X561" s="11"/>
      <c r="Y561" s="11"/>
      <c r="Z561" s="11"/>
    </row>
    <row r="562">
      <c r="A562" s="18"/>
      <c r="B562" s="11"/>
      <c r="C562" s="11"/>
      <c r="D562" s="11"/>
      <c r="E562" s="11"/>
      <c r="F562" s="11"/>
      <c r="G562" s="11"/>
      <c r="H562" s="11"/>
      <c r="I562" s="11"/>
      <c r="J562" s="11"/>
      <c r="K562" s="11"/>
      <c r="L562" s="15"/>
      <c r="M562" s="15"/>
      <c r="N562" s="15"/>
      <c r="O562" s="15"/>
      <c r="P562" s="15"/>
      <c r="Q562" s="11"/>
      <c r="R562" s="11"/>
      <c r="S562" s="11"/>
      <c r="T562" s="11"/>
      <c r="U562" s="15"/>
      <c r="V562" s="11"/>
      <c r="W562" s="11"/>
      <c r="X562" s="11"/>
      <c r="Y562" s="11"/>
      <c r="Z562" s="11"/>
    </row>
    <row r="563">
      <c r="A563" s="18"/>
      <c r="B563" s="11"/>
      <c r="C563" s="11"/>
      <c r="D563" s="11"/>
      <c r="E563" s="11"/>
      <c r="F563" s="11"/>
      <c r="G563" s="11"/>
      <c r="H563" s="11"/>
      <c r="I563" s="11"/>
      <c r="J563" s="11"/>
      <c r="K563" s="11"/>
      <c r="L563" s="15"/>
      <c r="M563" s="15"/>
      <c r="N563" s="15"/>
      <c r="O563" s="15"/>
      <c r="P563" s="15"/>
      <c r="Q563" s="11"/>
      <c r="R563" s="11"/>
      <c r="S563" s="11"/>
      <c r="T563" s="11"/>
      <c r="U563" s="15"/>
      <c r="V563" s="11"/>
      <c r="W563" s="11"/>
      <c r="X563" s="11"/>
      <c r="Y563" s="11"/>
      <c r="Z563" s="11"/>
    </row>
    <row r="564">
      <c r="A564" s="18"/>
      <c r="B564" s="11"/>
      <c r="C564" s="11"/>
      <c r="D564" s="11"/>
      <c r="E564" s="11"/>
      <c r="F564" s="11"/>
      <c r="G564" s="11"/>
      <c r="H564" s="11"/>
      <c r="I564" s="11"/>
      <c r="J564" s="11"/>
      <c r="K564" s="11"/>
      <c r="L564" s="15"/>
      <c r="M564" s="15"/>
      <c r="N564" s="15"/>
      <c r="O564" s="15"/>
      <c r="P564" s="15"/>
      <c r="Q564" s="11"/>
      <c r="R564" s="11"/>
      <c r="S564" s="11"/>
      <c r="T564" s="11"/>
      <c r="U564" s="15"/>
      <c r="V564" s="11"/>
      <c r="W564" s="11"/>
      <c r="X564" s="11"/>
      <c r="Y564" s="11"/>
      <c r="Z564" s="11"/>
    </row>
    <row r="565">
      <c r="A565" s="18"/>
      <c r="B565" s="11"/>
      <c r="C565" s="11"/>
      <c r="D565" s="11"/>
      <c r="E565" s="11"/>
      <c r="F565" s="11"/>
      <c r="G565" s="11"/>
      <c r="H565" s="11"/>
      <c r="I565" s="11"/>
      <c r="J565" s="11"/>
      <c r="K565" s="11"/>
      <c r="L565" s="15"/>
      <c r="M565" s="15"/>
      <c r="N565" s="15"/>
      <c r="O565" s="15"/>
      <c r="P565" s="15"/>
      <c r="Q565" s="11"/>
      <c r="R565" s="11"/>
      <c r="S565" s="11"/>
      <c r="T565" s="11"/>
      <c r="U565" s="15"/>
      <c r="V565" s="11"/>
      <c r="W565" s="11"/>
      <c r="X565" s="11"/>
      <c r="Y565" s="11"/>
      <c r="Z565" s="11"/>
    </row>
    <row r="566">
      <c r="A566" s="18"/>
      <c r="B566" s="11"/>
      <c r="C566" s="11"/>
      <c r="D566" s="11"/>
      <c r="E566" s="11"/>
      <c r="F566" s="11"/>
      <c r="G566" s="11"/>
      <c r="H566" s="11"/>
      <c r="I566" s="11"/>
      <c r="J566" s="11"/>
      <c r="K566" s="11"/>
      <c r="L566" s="15"/>
      <c r="M566" s="15"/>
      <c r="N566" s="15"/>
      <c r="O566" s="15"/>
      <c r="P566" s="15"/>
      <c r="Q566" s="11"/>
      <c r="R566" s="11"/>
      <c r="S566" s="11"/>
      <c r="T566" s="11"/>
      <c r="U566" s="15"/>
      <c r="V566" s="11"/>
      <c r="W566" s="11"/>
      <c r="X566" s="11"/>
      <c r="Y566" s="11"/>
      <c r="Z566" s="11"/>
    </row>
    <row r="567">
      <c r="A567" s="18"/>
      <c r="B567" s="11"/>
      <c r="C567" s="11"/>
      <c r="D567" s="11"/>
      <c r="E567" s="11"/>
      <c r="F567" s="11"/>
      <c r="G567" s="11"/>
      <c r="H567" s="11"/>
      <c r="I567" s="11"/>
      <c r="J567" s="11"/>
      <c r="K567" s="11"/>
      <c r="L567" s="15"/>
      <c r="M567" s="15"/>
      <c r="N567" s="15"/>
      <c r="O567" s="15"/>
      <c r="P567" s="15"/>
      <c r="Q567" s="11"/>
      <c r="R567" s="11"/>
      <c r="S567" s="11"/>
      <c r="T567" s="11"/>
      <c r="U567" s="15"/>
      <c r="V567" s="11"/>
      <c r="W567" s="11"/>
      <c r="X567" s="11"/>
      <c r="Y567" s="11"/>
      <c r="Z567" s="11"/>
    </row>
    <row r="568">
      <c r="A568" s="18"/>
      <c r="B568" s="11"/>
      <c r="C568" s="11"/>
      <c r="D568" s="11"/>
      <c r="E568" s="11"/>
      <c r="F568" s="11"/>
      <c r="G568" s="11"/>
      <c r="H568" s="11"/>
      <c r="I568" s="11"/>
      <c r="J568" s="11"/>
      <c r="K568" s="11"/>
      <c r="L568" s="15"/>
      <c r="M568" s="15"/>
      <c r="N568" s="15"/>
      <c r="O568" s="15"/>
      <c r="P568" s="15"/>
      <c r="Q568" s="11"/>
      <c r="R568" s="11"/>
      <c r="S568" s="11"/>
      <c r="T568" s="11"/>
      <c r="U568" s="15"/>
      <c r="V568" s="11"/>
      <c r="W568" s="11"/>
      <c r="X568" s="11"/>
      <c r="Y568" s="11"/>
      <c r="Z568" s="11"/>
    </row>
    <row r="569">
      <c r="A569" s="18"/>
      <c r="B569" s="11"/>
      <c r="C569" s="11"/>
      <c r="D569" s="11"/>
      <c r="E569" s="11"/>
      <c r="F569" s="11"/>
      <c r="G569" s="11"/>
      <c r="H569" s="11"/>
      <c r="I569" s="11"/>
      <c r="J569" s="11"/>
      <c r="K569" s="11"/>
      <c r="L569" s="15"/>
      <c r="M569" s="15"/>
      <c r="N569" s="15"/>
      <c r="O569" s="15"/>
      <c r="P569" s="15"/>
      <c r="Q569" s="11"/>
      <c r="R569" s="11"/>
      <c r="S569" s="11"/>
      <c r="T569" s="11"/>
      <c r="U569" s="15"/>
      <c r="V569" s="11"/>
      <c r="W569" s="11"/>
      <c r="X569" s="11"/>
      <c r="Y569" s="11"/>
      <c r="Z569" s="11"/>
    </row>
    <row r="570">
      <c r="A570" s="18"/>
      <c r="B570" s="11"/>
      <c r="C570" s="11"/>
      <c r="D570" s="11"/>
      <c r="E570" s="11"/>
      <c r="F570" s="11"/>
      <c r="G570" s="11"/>
      <c r="H570" s="11"/>
      <c r="I570" s="11"/>
      <c r="J570" s="11"/>
      <c r="K570" s="11"/>
      <c r="L570" s="15"/>
      <c r="M570" s="15"/>
      <c r="N570" s="15"/>
      <c r="O570" s="15"/>
      <c r="P570" s="15"/>
      <c r="Q570" s="11"/>
      <c r="R570" s="11"/>
      <c r="S570" s="11"/>
      <c r="T570" s="11"/>
      <c r="U570" s="15"/>
      <c r="V570" s="11"/>
      <c r="W570" s="11"/>
      <c r="X570" s="11"/>
      <c r="Y570" s="11"/>
      <c r="Z570" s="11"/>
    </row>
    <row r="571">
      <c r="A571" s="18"/>
      <c r="B571" s="11"/>
      <c r="C571" s="11"/>
      <c r="D571" s="11"/>
      <c r="E571" s="11"/>
      <c r="F571" s="11"/>
      <c r="G571" s="11"/>
      <c r="H571" s="11"/>
      <c r="I571" s="11"/>
      <c r="J571" s="11"/>
      <c r="K571" s="11"/>
      <c r="L571" s="15"/>
      <c r="M571" s="15"/>
      <c r="N571" s="15"/>
      <c r="O571" s="15"/>
      <c r="P571" s="15"/>
      <c r="Q571" s="11"/>
      <c r="R571" s="11"/>
      <c r="S571" s="11"/>
      <c r="T571" s="11"/>
      <c r="U571" s="15"/>
      <c r="V571" s="11"/>
      <c r="W571" s="11"/>
      <c r="X571" s="11"/>
      <c r="Y571" s="11"/>
      <c r="Z571" s="11"/>
    </row>
    <row r="572">
      <c r="A572" s="18"/>
      <c r="B572" s="11"/>
      <c r="C572" s="11"/>
      <c r="D572" s="11"/>
      <c r="E572" s="11"/>
      <c r="F572" s="11"/>
      <c r="G572" s="11"/>
      <c r="H572" s="11"/>
      <c r="I572" s="11"/>
      <c r="J572" s="11"/>
      <c r="K572" s="11"/>
      <c r="L572" s="15"/>
      <c r="M572" s="15"/>
      <c r="N572" s="15"/>
      <c r="O572" s="15"/>
      <c r="P572" s="15"/>
      <c r="Q572" s="11"/>
      <c r="R572" s="11"/>
      <c r="S572" s="11"/>
      <c r="T572" s="11"/>
      <c r="U572" s="15"/>
      <c r="V572" s="11"/>
      <c r="W572" s="11"/>
      <c r="X572" s="11"/>
      <c r="Y572" s="11"/>
      <c r="Z572" s="11"/>
    </row>
    <row r="573">
      <c r="A573" s="18"/>
      <c r="B573" s="11"/>
      <c r="C573" s="11"/>
      <c r="D573" s="11"/>
      <c r="E573" s="11"/>
      <c r="F573" s="11"/>
      <c r="G573" s="11"/>
      <c r="H573" s="11"/>
      <c r="I573" s="11"/>
      <c r="J573" s="11"/>
      <c r="K573" s="11"/>
      <c r="L573" s="15"/>
      <c r="M573" s="15"/>
      <c r="N573" s="15"/>
      <c r="O573" s="15"/>
      <c r="P573" s="15"/>
      <c r="Q573" s="11"/>
      <c r="R573" s="11"/>
      <c r="S573" s="11"/>
      <c r="T573" s="11"/>
      <c r="U573" s="15"/>
      <c r="V573" s="11"/>
      <c r="W573" s="11"/>
      <c r="X573" s="11"/>
      <c r="Y573" s="11"/>
      <c r="Z573" s="11"/>
    </row>
    <row r="574">
      <c r="A574" s="18"/>
      <c r="B574" s="11"/>
      <c r="C574" s="11"/>
      <c r="D574" s="11"/>
      <c r="E574" s="11"/>
      <c r="F574" s="11"/>
      <c r="G574" s="11"/>
      <c r="H574" s="11"/>
      <c r="I574" s="11"/>
      <c r="J574" s="11"/>
      <c r="K574" s="11"/>
      <c r="L574" s="15"/>
      <c r="M574" s="15"/>
      <c r="N574" s="15"/>
      <c r="O574" s="15"/>
      <c r="P574" s="15"/>
      <c r="Q574" s="11"/>
      <c r="R574" s="11"/>
      <c r="S574" s="11"/>
      <c r="T574" s="11"/>
      <c r="U574" s="15"/>
      <c r="V574" s="11"/>
      <c r="W574" s="11"/>
      <c r="X574" s="11"/>
      <c r="Y574" s="11"/>
      <c r="Z574" s="11"/>
    </row>
    <row r="575">
      <c r="A575" s="18"/>
      <c r="B575" s="11"/>
      <c r="C575" s="11"/>
      <c r="D575" s="11"/>
      <c r="E575" s="11"/>
      <c r="F575" s="11"/>
      <c r="G575" s="11"/>
      <c r="H575" s="11"/>
      <c r="I575" s="11"/>
      <c r="J575" s="11"/>
      <c r="K575" s="11"/>
      <c r="L575" s="15"/>
      <c r="M575" s="15"/>
      <c r="N575" s="15"/>
      <c r="O575" s="15"/>
      <c r="P575" s="15"/>
      <c r="Q575" s="11"/>
      <c r="R575" s="11"/>
      <c r="S575" s="11"/>
      <c r="T575" s="11"/>
      <c r="U575" s="15"/>
      <c r="V575" s="11"/>
      <c r="W575" s="11"/>
      <c r="X575" s="11"/>
      <c r="Y575" s="11"/>
      <c r="Z575" s="11"/>
    </row>
    <row r="576">
      <c r="A576" s="18"/>
      <c r="B576" s="11"/>
      <c r="C576" s="11"/>
      <c r="D576" s="11"/>
      <c r="E576" s="11"/>
      <c r="F576" s="11"/>
      <c r="G576" s="11"/>
      <c r="H576" s="11"/>
      <c r="I576" s="11"/>
      <c r="J576" s="11"/>
      <c r="K576" s="11"/>
      <c r="L576" s="15"/>
      <c r="M576" s="15"/>
      <c r="N576" s="15"/>
      <c r="O576" s="15"/>
      <c r="P576" s="15"/>
      <c r="Q576" s="11"/>
      <c r="R576" s="11"/>
      <c r="S576" s="11"/>
      <c r="T576" s="11"/>
      <c r="U576" s="15"/>
      <c r="V576" s="11"/>
      <c r="W576" s="11"/>
      <c r="X576" s="11"/>
      <c r="Y576" s="11"/>
      <c r="Z576" s="11"/>
    </row>
    <row r="577">
      <c r="A577" s="18"/>
      <c r="B577" s="11"/>
      <c r="C577" s="11"/>
      <c r="D577" s="11"/>
      <c r="E577" s="11"/>
      <c r="F577" s="11"/>
      <c r="G577" s="11"/>
      <c r="H577" s="11"/>
      <c r="I577" s="11"/>
      <c r="J577" s="11"/>
      <c r="K577" s="11"/>
      <c r="L577" s="15"/>
      <c r="M577" s="15"/>
      <c r="N577" s="15"/>
      <c r="O577" s="15"/>
      <c r="P577" s="15"/>
      <c r="Q577" s="11"/>
      <c r="R577" s="11"/>
      <c r="S577" s="11"/>
      <c r="T577" s="11"/>
      <c r="U577" s="15"/>
      <c r="V577" s="11"/>
      <c r="W577" s="11"/>
      <c r="X577" s="11"/>
      <c r="Y577" s="11"/>
      <c r="Z577" s="11"/>
    </row>
    <row r="578">
      <c r="A578" s="18"/>
      <c r="B578" s="11"/>
      <c r="C578" s="11"/>
      <c r="D578" s="11"/>
      <c r="E578" s="11"/>
      <c r="F578" s="11"/>
      <c r="G578" s="11"/>
      <c r="H578" s="11"/>
      <c r="I578" s="11"/>
      <c r="J578" s="11"/>
      <c r="K578" s="11"/>
      <c r="L578" s="15"/>
      <c r="M578" s="15"/>
      <c r="N578" s="15"/>
      <c r="O578" s="15"/>
      <c r="P578" s="15"/>
      <c r="Q578" s="11"/>
      <c r="R578" s="11"/>
      <c r="S578" s="11"/>
      <c r="T578" s="11"/>
      <c r="U578" s="15"/>
      <c r="V578" s="11"/>
      <c r="W578" s="11"/>
      <c r="X578" s="11"/>
      <c r="Y578" s="11"/>
      <c r="Z578" s="11"/>
    </row>
    <row r="579">
      <c r="A579" s="18"/>
      <c r="B579" s="11"/>
      <c r="C579" s="11"/>
      <c r="D579" s="11"/>
      <c r="E579" s="11"/>
      <c r="F579" s="11"/>
      <c r="G579" s="11"/>
      <c r="H579" s="11"/>
      <c r="I579" s="11"/>
      <c r="J579" s="11"/>
      <c r="K579" s="11"/>
      <c r="L579" s="15"/>
      <c r="M579" s="15"/>
      <c r="N579" s="15"/>
      <c r="O579" s="15"/>
      <c r="P579" s="15"/>
      <c r="Q579" s="11"/>
      <c r="R579" s="11"/>
      <c r="S579" s="11"/>
      <c r="T579" s="11"/>
      <c r="U579" s="15"/>
      <c r="V579" s="11"/>
      <c r="W579" s="11"/>
      <c r="X579" s="11"/>
      <c r="Y579" s="11"/>
      <c r="Z579" s="11"/>
    </row>
    <row r="580">
      <c r="A580" s="18"/>
      <c r="B580" s="11"/>
      <c r="C580" s="11"/>
      <c r="D580" s="11"/>
      <c r="E580" s="11"/>
      <c r="F580" s="11"/>
      <c r="G580" s="11"/>
      <c r="H580" s="11"/>
      <c r="I580" s="11"/>
      <c r="J580" s="11"/>
      <c r="K580" s="11"/>
      <c r="L580" s="15"/>
      <c r="M580" s="15"/>
      <c r="N580" s="15"/>
      <c r="O580" s="15"/>
      <c r="P580" s="15"/>
      <c r="Q580" s="11"/>
      <c r="R580" s="11"/>
      <c r="S580" s="11"/>
      <c r="T580" s="11"/>
      <c r="U580" s="15"/>
      <c r="V580" s="11"/>
      <c r="W580" s="11"/>
      <c r="X580" s="11"/>
      <c r="Y580" s="11"/>
      <c r="Z580" s="11"/>
    </row>
    <row r="581">
      <c r="A581" s="18"/>
      <c r="B581" s="11"/>
      <c r="C581" s="11"/>
      <c r="D581" s="11"/>
      <c r="E581" s="11"/>
      <c r="F581" s="11"/>
      <c r="G581" s="11"/>
      <c r="H581" s="11"/>
      <c r="I581" s="11"/>
      <c r="J581" s="11"/>
      <c r="K581" s="11"/>
      <c r="L581" s="15"/>
      <c r="M581" s="15"/>
      <c r="N581" s="15"/>
      <c r="O581" s="15"/>
      <c r="P581" s="15"/>
      <c r="Q581" s="11"/>
      <c r="R581" s="11"/>
      <c r="S581" s="11"/>
      <c r="T581" s="11"/>
      <c r="U581" s="15"/>
      <c r="V581" s="11"/>
      <c r="W581" s="11"/>
      <c r="X581" s="11"/>
      <c r="Y581" s="11"/>
      <c r="Z581" s="11"/>
    </row>
    <row r="582">
      <c r="A582" s="18"/>
      <c r="B582" s="11"/>
      <c r="C582" s="11"/>
      <c r="D582" s="11"/>
      <c r="E582" s="11"/>
      <c r="F582" s="11"/>
      <c r="G582" s="11"/>
      <c r="H582" s="11"/>
      <c r="I582" s="11"/>
      <c r="J582" s="11"/>
      <c r="K582" s="11"/>
      <c r="L582" s="15"/>
      <c r="M582" s="15"/>
      <c r="N582" s="15"/>
      <c r="O582" s="15"/>
      <c r="P582" s="15"/>
      <c r="Q582" s="11"/>
      <c r="R582" s="11"/>
      <c r="S582" s="11"/>
      <c r="T582" s="11"/>
      <c r="U582" s="15"/>
      <c r="V582" s="11"/>
      <c r="W582" s="11"/>
      <c r="X582" s="11"/>
      <c r="Y582" s="11"/>
      <c r="Z582" s="11"/>
    </row>
    <row r="583">
      <c r="A583" s="18"/>
      <c r="B583" s="11"/>
      <c r="C583" s="11"/>
      <c r="D583" s="11"/>
      <c r="E583" s="11"/>
      <c r="F583" s="11"/>
      <c r="G583" s="11"/>
      <c r="H583" s="11"/>
      <c r="I583" s="11"/>
      <c r="J583" s="11"/>
      <c r="K583" s="11"/>
      <c r="L583" s="15"/>
      <c r="M583" s="15"/>
      <c r="N583" s="15"/>
      <c r="O583" s="15"/>
      <c r="P583" s="15"/>
      <c r="Q583" s="11"/>
      <c r="R583" s="11"/>
      <c r="S583" s="11"/>
      <c r="T583" s="11"/>
      <c r="U583" s="15"/>
      <c r="V583" s="11"/>
      <c r="W583" s="11"/>
      <c r="X583" s="11"/>
      <c r="Y583" s="11"/>
      <c r="Z583" s="11"/>
    </row>
    <row r="584">
      <c r="A584" s="18"/>
      <c r="B584" s="11"/>
      <c r="C584" s="11"/>
      <c r="D584" s="11"/>
      <c r="E584" s="11"/>
      <c r="F584" s="11"/>
      <c r="G584" s="11"/>
      <c r="H584" s="11"/>
      <c r="I584" s="11"/>
      <c r="J584" s="11"/>
      <c r="K584" s="11"/>
      <c r="L584" s="15"/>
      <c r="M584" s="15"/>
      <c r="N584" s="15"/>
      <c r="O584" s="15"/>
      <c r="P584" s="15"/>
      <c r="Q584" s="11"/>
      <c r="R584" s="11"/>
      <c r="S584" s="11"/>
      <c r="T584" s="11"/>
      <c r="U584" s="15"/>
      <c r="V584" s="11"/>
      <c r="W584" s="11"/>
      <c r="X584" s="11"/>
      <c r="Y584" s="11"/>
      <c r="Z584" s="11"/>
    </row>
    <row r="585">
      <c r="A585" s="18"/>
      <c r="B585" s="11"/>
      <c r="C585" s="11"/>
      <c r="D585" s="11"/>
      <c r="E585" s="11"/>
      <c r="F585" s="11"/>
      <c r="G585" s="11"/>
      <c r="H585" s="11"/>
      <c r="I585" s="11"/>
      <c r="J585" s="11"/>
      <c r="K585" s="11"/>
      <c r="L585" s="15"/>
      <c r="M585" s="15"/>
      <c r="N585" s="15"/>
      <c r="O585" s="15"/>
      <c r="P585" s="15"/>
      <c r="Q585" s="11"/>
      <c r="R585" s="11"/>
      <c r="S585" s="11"/>
      <c r="T585" s="11"/>
      <c r="U585" s="15"/>
      <c r="V585" s="11"/>
      <c r="W585" s="11"/>
      <c r="X585" s="11"/>
      <c r="Y585" s="11"/>
      <c r="Z585" s="11"/>
    </row>
    <row r="586">
      <c r="A586" s="18"/>
      <c r="B586" s="11"/>
      <c r="C586" s="11"/>
      <c r="D586" s="11"/>
      <c r="E586" s="11"/>
      <c r="F586" s="11"/>
      <c r="G586" s="11"/>
      <c r="H586" s="11"/>
      <c r="I586" s="11"/>
      <c r="J586" s="11"/>
      <c r="K586" s="11"/>
      <c r="L586" s="15"/>
      <c r="M586" s="15"/>
      <c r="N586" s="15"/>
      <c r="O586" s="15"/>
      <c r="P586" s="15"/>
      <c r="Q586" s="11"/>
      <c r="R586" s="11"/>
      <c r="S586" s="11"/>
      <c r="T586" s="11"/>
      <c r="U586" s="15"/>
      <c r="V586" s="11"/>
      <c r="W586" s="11"/>
      <c r="X586" s="11"/>
      <c r="Y586" s="11"/>
      <c r="Z586" s="11"/>
    </row>
    <row r="587">
      <c r="A587" s="18"/>
      <c r="B587" s="11"/>
      <c r="C587" s="11"/>
      <c r="D587" s="11"/>
      <c r="E587" s="11"/>
      <c r="F587" s="11"/>
      <c r="G587" s="11"/>
      <c r="H587" s="11"/>
      <c r="I587" s="11"/>
      <c r="J587" s="11"/>
      <c r="K587" s="11"/>
      <c r="L587" s="15"/>
      <c r="M587" s="15"/>
      <c r="N587" s="15"/>
      <c r="O587" s="15"/>
      <c r="P587" s="15"/>
      <c r="Q587" s="11"/>
      <c r="R587" s="11"/>
      <c r="S587" s="11"/>
      <c r="T587" s="11"/>
      <c r="U587" s="15"/>
      <c r="V587" s="11"/>
      <c r="W587" s="11"/>
      <c r="X587" s="11"/>
      <c r="Y587" s="11"/>
      <c r="Z587" s="11"/>
    </row>
    <row r="588">
      <c r="A588" s="18"/>
      <c r="B588" s="11"/>
      <c r="C588" s="11"/>
      <c r="D588" s="11"/>
      <c r="E588" s="11"/>
      <c r="F588" s="11"/>
      <c r="G588" s="11"/>
      <c r="H588" s="11"/>
      <c r="I588" s="11"/>
      <c r="J588" s="11"/>
      <c r="K588" s="11"/>
      <c r="L588" s="15"/>
      <c r="M588" s="15"/>
      <c r="N588" s="15"/>
      <c r="O588" s="15"/>
      <c r="P588" s="15"/>
      <c r="Q588" s="11"/>
      <c r="R588" s="11"/>
      <c r="S588" s="11"/>
      <c r="T588" s="11"/>
      <c r="U588" s="15"/>
      <c r="V588" s="11"/>
      <c r="W588" s="11"/>
      <c r="X588" s="11"/>
      <c r="Y588" s="11"/>
      <c r="Z588" s="11"/>
    </row>
    <row r="589">
      <c r="A589" s="18"/>
      <c r="B589" s="11"/>
      <c r="C589" s="11"/>
      <c r="D589" s="11"/>
      <c r="E589" s="11"/>
      <c r="F589" s="11"/>
      <c r="G589" s="11"/>
      <c r="H589" s="11"/>
      <c r="I589" s="11"/>
      <c r="J589" s="11"/>
      <c r="K589" s="11"/>
      <c r="L589" s="15"/>
      <c r="M589" s="15"/>
      <c r="N589" s="15"/>
      <c r="O589" s="15"/>
      <c r="P589" s="15"/>
      <c r="Q589" s="11"/>
      <c r="R589" s="11"/>
      <c r="S589" s="11"/>
      <c r="T589" s="11"/>
      <c r="U589" s="15"/>
      <c r="V589" s="11"/>
      <c r="W589" s="11"/>
      <c r="X589" s="11"/>
      <c r="Y589" s="11"/>
      <c r="Z589" s="11"/>
    </row>
    <row r="590">
      <c r="A590" s="18"/>
      <c r="B590" s="11"/>
      <c r="C590" s="11"/>
      <c r="D590" s="11"/>
      <c r="E590" s="11"/>
      <c r="F590" s="11"/>
      <c r="G590" s="11"/>
      <c r="H590" s="11"/>
      <c r="I590" s="11"/>
      <c r="J590" s="11"/>
      <c r="K590" s="11"/>
      <c r="L590" s="15"/>
      <c r="M590" s="15"/>
      <c r="N590" s="15"/>
      <c r="O590" s="15"/>
      <c r="P590" s="15"/>
      <c r="Q590" s="11"/>
      <c r="R590" s="11"/>
      <c r="S590" s="11"/>
      <c r="T590" s="11"/>
      <c r="U590" s="15"/>
      <c r="V590" s="11"/>
      <c r="W590" s="11"/>
      <c r="X590" s="11"/>
      <c r="Y590" s="11"/>
      <c r="Z590" s="11"/>
    </row>
    <row r="591">
      <c r="A591" s="18"/>
      <c r="B591" s="11"/>
      <c r="C591" s="11"/>
      <c r="D591" s="11"/>
      <c r="E591" s="11"/>
      <c r="F591" s="11"/>
      <c r="G591" s="11"/>
      <c r="H591" s="11"/>
      <c r="I591" s="11"/>
      <c r="J591" s="11"/>
      <c r="K591" s="11"/>
      <c r="L591" s="15"/>
      <c r="M591" s="15"/>
      <c r="N591" s="15"/>
      <c r="O591" s="15"/>
      <c r="P591" s="15"/>
      <c r="Q591" s="11"/>
      <c r="R591" s="11"/>
      <c r="S591" s="11"/>
      <c r="T591" s="11"/>
      <c r="U591" s="15"/>
      <c r="V591" s="11"/>
      <c r="W591" s="11"/>
      <c r="X591" s="11"/>
      <c r="Y591" s="11"/>
      <c r="Z591" s="11"/>
    </row>
    <row r="592">
      <c r="A592" s="18"/>
      <c r="B592" s="11"/>
      <c r="C592" s="11"/>
      <c r="D592" s="11"/>
      <c r="E592" s="11"/>
      <c r="F592" s="11"/>
      <c r="G592" s="11"/>
      <c r="H592" s="11"/>
      <c r="I592" s="11"/>
      <c r="J592" s="11"/>
      <c r="K592" s="11"/>
      <c r="L592" s="15"/>
      <c r="M592" s="15"/>
      <c r="N592" s="15"/>
      <c r="O592" s="15"/>
      <c r="P592" s="15"/>
      <c r="Q592" s="11"/>
      <c r="R592" s="11"/>
      <c r="S592" s="11"/>
      <c r="T592" s="11"/>
      <c r="U592" s="15"/>
      <c r="V592" s="11"/>
      <c r="W592" s="11"/>
      <c r="X592" s="11"/>
      <c r="Y592" s="11"/>
      <c r="Z592" s="11"/>
    </row>
    <row r="593">
      <c r="A593" s="18"/>
      <c r="B593" s="11"/>
      <c r="C593" s="11"/>
      <c r="D593" s="11"/>
      <c r="E593" s="11"/>
      <c r="F593" s="11"/>
      <c r="G593" s="11"/>
      <c r="H593" s="11"/>
      <c r="I593" s="11"/>
      <c r="J593" s="11"/>
      <c r="K593" s="11"/>
      <c r="L593" s="15"/>
      <c r="M593" s="15"/>
      <c r="N593" s="15"/>
      <c r="O593" s="15"/>
      <c r="P593" s="15"/>
      <c r="Q593" s="11"/>
      <c r="R593" s="11"/>
      <c r="S593" s="11"/>
      <c r="T593" s="11"/>
      <c r="U593" s="15"/>
      <c r="V593" s="11"/>
      <c r="W593" s="11"/>
      <c r="X593" s="11"/>
      <c r="Y593" s="11"/>
      <c r="Z593" s="11"/>
    </row>
    <row r="594">
      <c r="A594" s="18"/>
      <c r="B594" s="11"/>
      <c r="C594" s="11"/>
      <c r="D594" s="11"/>
      <c r="E594" s="11"/>
      <c r="F594" s="11"/>
      <c r="G594" s="11"/>
      <c r="H594" s="11"/>
      <c r="I594" s="11"/>
      <c r="J594" s="11"/>
      <c r="K594" s="11"/>
      <c r="L594" s="15"/>
      <c r="M594" s="15"/>
      <c r="N594" s="15"/>
      <c r="O594" s="15"/>
      <c r="P594" s="15"/>
      <c r="Q594" s="11"/>
      <c r="R594" s="11"/>
      <c r="S594" s="11"/>
      <c r="T594" s="11"/>
      <c r="U594" s="15"/>
      <c r="V594" s="11"/>
      <c r="W594" s="11"/>
      <c r="X594" s="11"/>
      <c r="Y594" s="11"/>
      <c r="Z594" s="11"/>
    </row>
    <row r="595">
      <c r="A595" s="18"/>
      <c r="B595" s="11"/>
      <c r="C595" s="11"/>
      <c r="D595" s="11"/>
      <c r="E595" s="11"/>
      <c r="F595" s="11"/>
      <c r="G595" s="11"/>
      <c r="H595" s="11"/>
      <c r="I595" s="11"/>
      <c r="J595" s="11"/>
      <c r="K595" s="11"/>
      <c r="L595" s="15"/>
      <c r="M595" s="15"/>
      <c r="N595" s="15"/>
      <c r="O595" s="15"/>
      <c r="P595" s="15"/>
      <c r="Q595" s="11"/>
      <c r="R595" s="11"/>
      <c r="S595" s="11"/>
      <c r="T595" s="11"/>
      <c r="U595" s="15"/>
      <c r="V595" s="11"/>
      <c r="W595" s="11"/>
      <c r="X595" s="11"/>
      <c r="Y595" s="11"/>
      <c r="Z595" s="11"/>
    </row>
    <row r="596">
      <c r="A596" s="18"/>
      <c r="B596" s="11"/>
      <c r="C596" s="11"/>
      <c r="D596" s="11"/>
      <c r="E596" s="11"/>
      <c r="F596" s="11"/>
      <c r="G596" s="11"/>
      <c r="H596" s="11"/>
      <c r="I596" s="11"/>
      <c r="J596" s="11"/>
      <c r="K596" s="11"/>
      <c r="L596" s="15"/>
      <c r="M596" s="15"/>
      <c r="N596" s="15"/>
      <c r="O596" s="15"/>
      <c r="P596" s="15"/>
      <c r="Q596" s="11"/>
      <c r="R596" s="11"/>
      <c r="S596" s="11"/>
      <c r="T596" s="11"/>
      <c r="U596" s="15"/>
      <c r="V596" s="11"/>
      <c r="W596" s="11"/>
      <c r="X596" s="11"/>
      <c r="Y596" s="11"/>
      <c r="Z596" s="11"/>
    </row>
    <row r="597">
      <c r="A597" s="18"/>
      <c r="B597" s="11"/>
      <c r="C597" s="11"/>
      <c r="D597" s="11"/>
      <c r="E597" s="11"/>
      <c r="F597" s="11"/>
      <c r="G597" s="11"/>
      <c r="H597" s="11"/>
      <c r="I597" s="11"/>
      <c r="J597" s="11"/>
      <c r="K597" s="11"/>
      <c r="L597" s="15"/>
      <c r="M597" s="15"/>
      <c r="N597" s="15"/>
      <c r="O597" s="15"/>
      <c r="P597" s="15"/>
      <c r="Q597" s="11"/>
      <c r="R597" s="11"/>
      <c r="S597" s="11"/>
      <c r="T597" s="11"/>
      <c r="U597" s="15"/>
      <c r="V597" s="11"/>
      <c r="W597" s="11"/>
      <c r="X597" s="11"/>
      <c r="Y597" s="11"/>
      <c r="Z597" s="11"/>
    </row>
    <row r="598">
      <c r="A598" s="18"/>
      <c r="B598" s="11"/>
      <c r="C598" s="11"/>
      <c r="D598" s="11"/>
      <c r="E598" s="11"/>
      <c r="F598" s="11"/>
      <c r="G598" s="11"/>
      <c r="H598" s="11"/>
      <c r="I598" s="11"/>
      <c r="J598" s="11"/>
      <c r="K598" s="11"/>
      <c r="L598" s="15"/>
      <c r="M598" s="15"/>
      <c r="N598" s="15"/>
      <c r="O598" s="15"/>
      <c r="P598" s="15"/>
      <c r="Q598" s="11"/>
      <c r="R598" s="11"/>
      <c r="S598" s="11"/>
      <c r="T598" s="11"/>
      <c r="U598" s="15"/>
      <c r="V598" s="11"/>
      <c r="W598" s="11"/>
      <c r="X598" s="11"/>
      <c r="Y598" s="11"/>
      <c r="Z598" s="11"/>
    </row>
    <row r="599">
      <c r="A599" s="18"/>
      <c r="B599" s="11"/>
      <c r="C599" s="11"/>
      <c r="D599" s="11"/>
      <c r="E599" s="11"/>
      <c r="F599" s="11"/>
      <c r="G599" s="11"/>
      <c r="H599" s="11"/>
      <c r="I599" s="11"/>
      <c r="J599" s="11"/>
      <c r="K599" s="11"/>
      <c r="L599" s="15"/>
      <c r="M599" s="15"/>
      <c r="N599" s="15"/>
      <c r="O599" s="15"/>
      <c r="P599" s="15"/>
      <c r="Q599" s="11"/>
      <c r="R599" s="11"/>
      <c r="S599" s="11"/>
      <c r="T599" s="11"/>
      <c r="U599" s="15"/>
      <c r="V599" s="11"/>
      <c r="W599" s="11"/>
      <c r="X599" s="11"/>
      <c r="Y599" s="11"/>
      <c r="Z599" s="11"/>
    </row>
    <row r="600">
      <c r="A600" s="18"/>
      <c r="B600" s="11"/>
      <c r="C600" s="11"/>
      <c r="D600" s="11"/>
      <c r="E600" s="11"/>
      <c r="F600" s="11"/>
      <c r="G600" s="11"/>
      <c r="H600" s="11"/>
      <c r="I600" s="11"/>
      <c r="J600" s="11"/>
      <c r="K600" s="11"/>
      <c r="L600" s="15"/>
      <c r="M600" s="15"/>
      <c r="N600" s="15"/>
      <c r="O600" s="15"/>
      <c r="P600" s="15"/>
      <c r="Q600" s="11"/>
      <c r="R600" s="11"/>
      <c r="S600" s="11"/>
      <c r="T600" s="11"/>
      <c r="U600" s="15"/>
      <c r="V600" s="11"/>
      <c r="W600" s="11"/>
      <c r="X600" s="11"/>
      <c r="Y600" s="11"/>
      <c r="Z600" s="11"/>
    </row>
    <row r="601">
      <c r="A601" s="18"/>
      <c r="B601" s="11"/>
      <c r="C601" s="11"/>
      <c r="D601" s="11"/>
      <c r="E601" s="11"/>
      <c r="F601" s="11"/>
      <c r="G601" s="11"/>
      <c r="H601" s="11"/>
      <c r="I601" s="11"/>
      <c r="J601" s="11"/>
      <c r="K601" s="11"/>
      <c r="L601" s="15"/>
      <c r="M601" s="15"/>
      <c r="N601" s="15"/>
      <c r="O601" s="15"/>
      <c r="P601" s="15"/>
      <c r="Q601" s="11"/>
      <c r="R601" s="11"/>
      <c r="S601" s="11"/>
      <c r="T601" s="11"/>
      <c r="U601" s="15"/>
      <c r="V601" s="11"/>
      <c r="W601" s="11"/>
      <c r="X601" s="11"/>
      <c r="Y601" s="11"/>
      <c r="Z601" s="11"/>
    </row>
    <row r="602">
      <c r="A602" s="18"/>
      <c r="B602" s="11"/>
      <c r="C602" s="11"/>
      <c r="D602" s="11"/>
      <c r="E602" s="11"/>
      <c r="F602" s="11"/>
      <c r="G602" s="11"/>
      <c r="H602" s="11"/>
      <c r="I602" s="11"/>
      <c r="J602" s="11"/>
      <c r="K602" s="11"/>
      <c r="L602" s="15"/>
      <c r="M602" s="15"/>
      <c r="N602" s="15"/>
      <c r="O602" s="15"/>
      <c r="P602" s="15"/>
      <c r="Q602" s="11"/>
      <c r="R602" s="11"/>
      <c r="S602" s="11"/>
      <c r="T602" s="11"/>
      <c r="U602" s="15"/>
      <c r="V602" s="11"/>
      <c r="W602" s="11"/>
      <c r="X602" s="11"/>
      <c r="Y602" s="11"/>
      <c r="Z602" s="11"/>
    </row>
    <row r="603">
      <c r="A603" s="18"/>
      <c r="B603" s="11"/>
      <c r="C603" s="11"/>
      <c r="D603" s="11"/>
      <c r="E603" s="11"/>
      <c r="F603" s="11"/>
      <c r="G603" s="11"/>
      <c r="H603" s="11"/>
      <c r="I603" s="11"/>
      <c r="J603" s="11"/>
      <c r="K603" s="11"/>
      <c r="L603" s="15"/>
      <c r="M603" s="15"/>
      <c r="N603" s="15"/>
      <c r="O603" s="15"/>
      <c r="P603" s="15"/>
      <c r="Q603" s="11"/>
      <c r="R603" s="11"/>
      <c r="S603" s="11"/>
      <c r="T603" s="11"/>
      <c r="U603" s="15"/>
      <c r="V603" s="11"/>
      <c r="W603" s="11"/>
      <c r="X603" s="11"/>
      <c r="Y603" s="11"/>
      <c r="Z603" s="11"/>
    </row>
    <row r="604">
      <c r="A604" s="18"/>
      <c r="B604" s="11"/>
      <c r="C604" s="11"/>
      <c r="D604" s="11"/>
      <c r="E604" s="11"/>
      <c r="F604" s="11"/>
      <c r="G604" s="11"/>
      <c r="H604" s="11"/>
      <c r="I604" s="11"/>
      <c r="J604" s="11"/>
      <c r="K604" s="11"/>
      <c r="L604" s="15"/>
      <c r="M604" s="15"/>
      <c r="N604" s="15"/>
      <c r="O604" s="15"/>
      <c r="P604" s="15"/>
      <c r="Q604" s="11"/>
      <c r="R604" s="11"/>
      <c r="S604" s="11"/>
      <c r="T604" s="11"/>
      <c r="U604" s="15"/>
      <c r="V604" s="11"/>
      <c r="W604" s="11"/>
      <c r="X604" s="11"/>
      <c r="Y604" s="11"/>
      <c r="Z604" s="11"/>
    </row>
    <row r="605">
      <c r="A605" s="18"/>
      <c r="B605" s="11"/>
      <c r="C605" s="11"/>
      <c r="D605" s="11"/>
      <c r="E605" s="11"/>
      <c r="F605" s="11"/>
      <c r="G605" s="11"/>
      <c r="H605" s="11"/>
      <c r="I605" s="11"/>
      <c r="J605" s="11"/>
      <c r="K605" s="11"/>
      <c r="L605" s="15"/>
      <c r="M605" s="15"/>
      <c r="N605" s="15"/>
      <c r="O605" s="15"/>
      <c r="P605" s="15"/>
      <c r="Q605" s="11"/>
      <c r="R605" s="11"/>
      <c r="S605" s="11"/>
      <c r="T605" s="11"/>
      <c r="U605" s="15"/>
      <c r="V605" s="11"/>
      <c r="W605" s="11"/>
      <c r="X605" s="11"/>
      <c r="Y605" s="11"/>
      <c r="Z605" s="11"/>
    </row>
    <row r="606">
      <c r="A606" s="18"/>
      <c r="B606" s="11"/>
      <c r="C606" s="11"/>
      <c r="D606" s="11"/>
      <c r="E606" s="11"/>
      <c r="F606" s="11"/>
      <c r="G606" s="11"/>
      <c r="H606" s="11"/>
      <c r="I606" s="11"/>
      <c r="J606" s="11"/>
      <c r="K606" s="11"/>
      <c r="L606" s="15"/>
      <c r="M606" s="15"/>
      <c r="N606" s="15"/>
      <c r="O606" s="15"/>
      <c r="P606" s="15"/>
      <c r="Q606" s="11"/>
      <c r="R606" s="11"/>
      <c r="S606" s="11"/>
      <c r="T606" s="11"/>
      <c r="U606" s="15"/>
      <c r="V606" s="11"/>
      <c r="W606" s="11"/>
      <c r="X606" s="11"/>
      <c r="Y606" s="11"/>
      <c r="Z606" s="11"/>
    </row>
    <row r="607">
      <c r="A607" s="18"/>
      <c r="B607" s="11"/>
      <c r="C607" s="11"/>
      <c r="D607" s="11"/>
      <c r="E607" s="11"/>
      <c r="F607" s="11"/>
      <c r="G607" s="11"/>
      <c r="H607" s="11"/>
      <c r="I607" s="11"/>
      <c r="J607" s="11"/>
      <c r="K607" s="11"/>
      <c r="L607" s="15"/>
      <c r="M607" s="15"/>
      <c r="N607" s="15"/>
      <c r="O607" s="15"/>
      <c r="P607" s="15"/>
      <c r="Q607" s="11"/>
      <c r="R607" s="11"/>
      <c r="S607" s="11"/>
      <c r="T607" s="11"/>
      <c r="U607" s="15"/>
      <c r="V607" s="11"/>
      <c r="W607" s="11"/>
      <c r="X607" s="11"/>
      <c r="Y607" s="11"/>
      <c r="Z607" s="11"/>
    </row>
    <row r="608">
      <c r="A608" s="18"/>
      <c r="B608" s="11"/>
      <c r="C608" s="11"/>
      <c r="D608" s="11"/>
      <c r="E608" s="11"/>
      <c r="F608" s="11"/>
      <c r="G608" s="11"/>
      <c r="H608" s="11"/>
      <c r="I608" s="11"/>
      <c r="J608" s="11"/>
      <c r="K608" s="11"/>
      <c r="L608" s="15"/>
      <c r="M608" s="15"/>
      <c r="N608" s="15"/>
      <c r="O608" s="15"/>
      <c r="P608" s="15"/>
      <c r="Q608" s="11"/>
      <c r="R608" s="11"/>
      <c r="S608" s="11"/>
      <c r="T608" s="11"/>
      <c r="U608" s="15"/>
      <c r="V608" s="11"/>
      <c r="W608" s="11"/>
      <c r="X608" s="11"/>
      <c r="Y608" s="11"/>
      <c r="Z608" s="11"/>
    </row>
    <row r="609">
      <c r="A609" s="18"/>
      <c r="B609" s="11"/>
      <c r="C609" s="11"/>
      <c r="D609" s="11"/>
      <c r="E609" s="11"/>
      <c r="F609" s="11"/>
      <c r="G609" s="11"/>
      <c r="H609" s="11"/>
      <c r="I609" s="11"/>
      <c r="J609" s="11"/>
      <c r="K609" s="11"/>
      <c r="L609" s="15"/>
      <c r="M609" s="15"/>
      <c r="N609" s="15"/>
      <c r="O609" s="15"/>
      <c r="P609" s="15"/>
      <c r="Q609" s="11"/>
      <c r="R609" s="11"/>
      <c r="S609" s="11"/>
      <c r="T609" s="11"/>
      <c r="U609" s="15"/>
      <c r="V609" s="11"/>
      <c r="W609" s="11"/>
      <c r="X609" s="11"/>
      <c r="Y609" s="11"/>
      <c r="Z609" s="11"/>
    </row>
    <row r="610">
      <c r="A610" s="18"/>
      <c r="B610" s="11"/>
      <c r="C610" s="11"/>
      <c r="D610" s="11"/>
      <c r="E610" s="11"/>
      <c r="F610" s="11"/>
      <c r="G610" s="11"/>
      <c r="H610" s="11"/>
      <c r="I610" s="11"/>
      <c r="J610" s="11"/>
      <c r="K610" s="11"/>
      <c r="L610" s="15"/>
      <c r="M610" s="15"/>
      <c r="N610" s="15"/>
      <c r="O610" s="15"/>
      <c r="P610" s="15"/>
      <c r="Q610" s="11"/>
      <c r="R610" s="11"/>
      <c r="S610" s="11"/>
      <c r="T610" s="11"/>
      <c r="U610" s="15"/>
      <c r="V610" s="11"/>
      <c r="W610" s="11"/>
      <c r="X610" s="11"/>
      <c r="Y610" s="11"/>
      <c r="Z610" s="11"/>
    </row>
    <row r="611">
      <c r="A611" s="18"/>
      <c r="B611" s="11"/>
      <c r="C611" s="11"/>
      <c r="D611" s="11"/>
      <c r="E611" s="11"/>
      <c r="F611" s="11"/>
      <c r="G611" s="11"/>
      <c r="H611" s="11"/>
      <c r="I611" s="11"/>
      <c r="J611" s="11"/>
      <c r="K611" s="11"/>
      <c r="L611" s="15"/>
      <c r="M611" s="15"/>
      <c r="N611" s="15"/>
      <c r="O611" s="15"/>
      <c r="P611" s="15"/>
      <c r="Q611" s="11"/>
      <c r="R611" s="11"/>
      <c r="S611" s="11"/>
      <c r="T611" s="11"/>
      <c r="U611" s="15"/>
      <c r="V611" s="11"/>
      <c r="W611" s="11"/>
      <c r="X611" s="11"/>
      <c r="Y611" s="11"/>
      <c r="Z611" s="11"/>
    </row>
    <row r="612">
      <c r="A612" s="18"/>
      <c r="B612" s="11"/>
      <c r="C612" s="11"/>
      <c r="D612" s="11"/>
      <c r="E612" s="11"/>
      <c r="F612" s="11"/>
      <c r="G612" s="11"/>
      <c r="H612" s="11"/>
      <c r="I612" s="11"/>
      <c r="J612" s="11"/>
      <c r="K612" s="11"/>
      <c r="L612" s="15"/>
      <c r="M612" s="15"/>
      <c r="N612" s="15"/>
      <c r="O612" s="15"/>
      <c r="P612" s="15"/>
      <c r="Q612" s="11"/>
      <c r="R612" s="11"/>
      <c r="S612" s="11"/>
      <c r="T612" s="11"/>
      <c r="U612" s="15"/>
      <c r="V612" s="11"/>
      <c r="W612" s="11"/>
      <c r="X612" s="11"/>
      <c r="Y612" s="11"/>
      <c r="Z612" s="11"/>
    </row>
    <row r="613">
      <c r="A613" s="18"/>
      <c r="B613" s="11"/>
      <c r="C613" s="11"/>
      <c r="D613" s="11"/>
      <c r="E613" s="11"/>
      <c r="F613" s="11"/>
      <c r="G613" s="11"/>
      <c r="H613" s="11"/>
      <c r="I613" s="11"/>
      <c r="J613" s="11"/>
      <c r="K613" s="11"/>
      <c r="L613" s="15"/>
      <c r="M613" s="15"/>
      <c r="N613" s="15"/>
      <c r="O613" s="15"/>
      <c r="P613" s="15"/>
      <c r="Q613" s="11"/>
      <c r="R613" s="11"/>
      <c r="S613" s="11"/>
      <c r="T613" s="11"/>
      <c r="U613" s="15"/>
      <c r="V613" s="11"/>
      <c r="W613" s="11"/>
      <c r="X613" s="11"/>
      <c r="Y613" s="11"/>
      <c r="Z613" s="11"/>
    </row>
    <row r="614">
      <c r="A614" s="18"/>
      <c r="B614" s="11"/>
      <c r="C614" s="11"/>
      <c r="D614" s="11"/>
      <c r="E614" s="11"/>
      <c r="F614" s="11"/>
      <c r="G614" s="11"/>
      <c r="H614" s="11"/>
      <c r="I614" s="11"/>
      <c r="J614" s="11"/>
      <c r="K614" s="11"/>
      <c r="L614" s="15"/>
      <c r="M614" s="15"/>
      <c r="N614" s="15"/>
      <c r="O614" s="15"/>
      <c r="P614" s="15"/>
      <c r="Q614" s="11"/>
      <c r="R614" s="11"/>
      <c r="S614" s="11"/>
      <c r="T614" s="11"/>
      <c r="U614" s="15"/>
      <c r="V614" s="11"/>
      <c r="W614" s="11"/>
      <c r="X614" s="11"/>
      <c r="Y614" s="11"/>
      <c r="Z614" s="11"/>
    </row>
    <row r="615">
      <c r="A615" s="18"/>
      <c r="B615" s="11"/>
      <c r="C615" s="11"/>
      <c r="D615" s="11"/>
      <c r="E615" s="11"/>
      <c r="F615" s="11"/>
      <c r="G615" s="11"/>
      <c r="H615" s="11"/>
      <c r="I615" s="11"/>
      <c r="J615" s="11"/>
      <c r="K615" s="11"/>
      <c r="L615" s="15"/>
      <c r="M615" s="15"/>
      <c r="N615" s="15"/>
      <c r="O615" s="15"/>
      <c r="P615" s="15"/>
      <c r="Q615" s="11"/>
      <c r="R615" s="11"/>
      <c r="S615" s="11"/>
      <c r="T615" s="11"/>
      <c r="U615" s="15"/>
      <c r="V615" s="11"/>
      <c r="W615" s="11"/>
      <c r="X615" s="11"/>
      <c r="Y615" s="11"/>
      <c r="Z615" s="11"/>
    </row>
    <row r="616">
      <c r="A616" s="18"/>
      <c r="B616" s="11"/>
      <c r="C616" s="11"/>
      <c r="D616" s="11"/>
      <c r="E616" s="11"/>
      <c r="F616" s="11"/>
      <c r="G616" s="11"/>
      <c r="H616" s="11"/>
      <c r="I616" s="11"/>
      <c r="J616" s="11"/>
      <c r="K616" s="11"/>
      <c r="L616" s="15"/>
      <c r="M616" s="15"/>
      <c r="N616" s="15"/>
      <c r="O616" s="15"/>
      <c r="P616" s="15"/>
      <c r="Q616" s="11"/>
      <c r="R616" s="11"/>
      <c r="S616" s="11"/>
      <c r="T616" s="11"/>
      <c r="U616" s="15"/>
      <c r="V616" s="11"/>
      <c r="W616" s="11"/>
      <c r="X616" s="11"/>
      <c r="Y616" s="11"/>
      <c r="Z616" s="11"/>
    </row>
    <row r="617">
      <c r="A617" s="18"/>
      <c r="B617" s="11"/>
      <c r="C617" s="11"/>
      <c r="D617" s="11"/>
      <c r="E617" s="11"/>
      <c r="F617" s="11"/>
      <c r="G617" s="11"/>
      <c r="H617" s="11"/>
      <c r="I617" s="11"/>
      <c r="J617" s="11"/>
      <c r="K617" s="11"/>
      <c r="L617" s="15"/>
      <c r="M617" s="15"/>
      <c r="N617" s="15"/>
      <c r="O617" s="15"/>
      <c r="P617" s="15"/>
      <c r="Q617" s="11"/>
      <c r="R617" s="11"/>
      <c r="S617" s="11"/>
      <c r="T617" s="11"/>
      <c r="U617" s="15"/>
      <c r="V617" s="11"/>
      <c r="W617" s="11"/>
      <c r="X617" s="11"/>
      <c r="Y617" s="11"/>
      <c r="Z617" s="11"/>
    </row>
    <row r="618">
      <c r="A618" s="18"/>
      <c r="B618" s="11"/>
      <c r="C618" s="11"/>
      <c r="D618" s="11"/>
      <c r="E618" s="11"/>
      <c r="F618" s="11"/>
      <c r="G618" s="11"/>
      <c r="H618" s="11"/>
      <c r="I618" s="11"/>
      <c r="J618" s="11"/>
      <c r="K618" s="11"/>
      <c r="L618" s="15"/>
      <c r="M618" s="15"/>
      <c r="N618" s="15"/>
      <c r="O618" s="15"/>
      <c r="P618" s="15"/>
      <c r="Q618" s="11"/>
      <c r="R618" s="11"/>
      <c r="S618" s="11"/>
      <c r="T618" s="11"/>
      <c r="U618" s="15"/>
      <c r="V618" s="11"/>
      <c r="W618" s="11"/>
      <c r="X618" s="11"/>
      <c r="Y618" s="11"/>
      <c r="Z618" s="11"/>
    </row>
    <row r="619">
      <c r="A619" s="18"/>
      <c r="B619" s="11"/>
      <c r="C619" s="11"/>
      <c r="D619" s="11"/>
      <c r="E619" s="11"/>
      <c r="F619" s="11"/>
      <c r="G619" s="11"/>
      <c r="H619" s="11"/>
      <c r="I619" s="11"/>
      <c r="J619" s="11"/>
      <c r="K619" s="11"/>
      <c r="L619" s="15"/>
      <c r="M619" s="15"/>
      <c r="N619" s="15"/>
      <c r="O619" s="15"/>
      <c r="P619" s="15"/>
      <c r="Q619" s="11"/>
      <c r="R619" s="11"/>
      <c r="S619" s="11"/>
      <c r="T619" s="11"/>
      <c r="U619" s="15"/>
      <c r="V619" s="11"/>
      <c r="W619" s="11"/>
      <c r="X619" s="11"/>
      <c r="Y619" s="11"/>
      <c r="Z619" s="11"/>
    </row>
    <row r="620">
      <c r="A620" s="18"/>
      <c r="B620" s="11"/>
      <c r="C620" s="11"/>
      <c r="D620" s="11"/>
      <c r="E620" s="11"/>
      <c r="F620" s="11"/>
      <c r="G620" s="11"/>
      <c r="H620" s="11"/>
      <c r="I620" s="11"/>
      <c r="J620" s="11"/>
      <c r="K620" s="11"/>
      <c r="L620" s="15"/>
      <c r="M620" s="15"/>
      <c r="N620" s="15"/>
      <c r="O620" s="15"/>
      <c r="P620" s="15"/>
      <c r="Q620" s="11"/>
      <c r="R620" s="11"/>
      <c r="S620" s="11"/>
      <c r="T620" s="11"/>
      <c r="U620" s="15"/>
      <c r="V620" s="11"/>
      <c r="W620" s="11"/>
      <c r="X620" s="11"/>
      <c r="Y620" s="11"/>
      <c r="Z620" s="11"/>
    </row>
    <row r="621">
      <c r="A621" s="18"/>
      <c r="B621" s="11"/>
      <c r="C621" s="11"/>
      <c r="D621" s="11"/>
      <c r="E621" s="11"/>
      <c r="F621" s="11"/>
      <c r="G621" s="11"/>
      <c r="H621" s="11"/>
      <c r="I621" s="11"/>
      <c r="J621" s="11"/>
      <c r="K621" s="11"/>
      <c r="L621" s="15"/>
      <c r="M621" s="15"/>
      <c r="N621" s="15"/>
      <c r="O621" s="15"/>
      <c r="P621" s="15"/>
      <c r="Q621" s="11"/>
      <c r="R621" s="11"/>
      <c r="S621" s="11"/>
      <c r="T621" s="11"/>
      <c r="U621" s="15"/>
      <c r="V621" s="11"/>
      <c r="W621" s="11"/>
      <c r="X621" s="11"/>
      <c r="Y621" s="11"/>
      <c r="Z621" s="11"/>
    </row>
    <row r="622">
      <c r="A622" s="18"/>
      <c r="B622" s="11"/>
      <c r="C622" s="11"/>
      <c r="D622" s="11"/>
      <c r="E622" s="11"/>
      <c r="F622" s="11"/>
      <c r="G622" s="11"/>
      <c r="H622" s="11"/>
      <c r="I622" s="11"/>
      <c r="J622" s="11"/>
      <c r="K622" s="11"/>
      <c r="L622" s="15"/>
      <c r="M622" s="15"/>
      <c r="N622" s="15"/>
      <c r="O622" s="15"/>
      <c r="P622" s="15"/>
      <c r="Q622" s="11"/>
      <c r="R622" s="11"/>
      <c r="S622" s="11"/>
      <c r="T622" s="11"/>
      <c r="U622" s="15"/>
      <c r="V622" s="11"/>
      <c r="W622" s="11"/>
      <c r="X622" s="11"/>
      <c r="Y622" s="11"/>
      <c r="Z622" s="11"/>
    </row>
    <row r="623">
      <c r="A623" s="18"/>
      <c r="B623" s="11"/>
      <c r="C623" s="11"/>
      <c r="D623" s="11"/>
      <c r="E623" s="11"/>
      <c r="F623" s="11"/>
      <c r="G623" s="11"/>
      <c r="H623" s="11"/>
      <c r="I623" s="11"/>
      <c r="J623" s="11"/>
      <c r="K623" s="11"/>
      <c r="L623" s="15"/>
      <c r="M623" s="15"/>
      <c r="N623" s="15"/>
      <c r="O623" s="15"/>
      <c r="P623" s="15"/>
      <c r="Q623" s="11"/>
      <c r="R623" s="11"/>
      <c r="S623" s="11"/>
      <c r="T623" s="11"/>
      <c r="U623" s="15"/>
      <c r="V623" s="11"/>
      <c r="W623" s="11"/>
      <c r="X623" s="11"/>
      <c r="Y623" s="11"/>
      <c r="Z623" s="11"/>
    </row>
    <row r="624">
      <c r="A624" s="18"/>
      <c r="B624" s="11"/>
      <c r="C624" s="11"/>
      <c r="D624" s="11"/>
      <c r="E624" s="11"/>
      <c r="F624" s="11"/>
      <c r="G624" s="11"/>
      <c r="H624" s="11"/>
      <c r="I624" s="11"/>
      <c r="J624" s="11"/>
      <c r="K624" s="11"/>
      <c r="L624" s="15"/>
      <c r="M624" s="15"/>
      <c r="N624" s="15"/>
      <c r="O624" s="15"/>
      <c r="P624" s="15"/>
      <c r="Q624" s="11"/>
      <c r="R624" s="11"/>
      <c r="S624" s="11"/>
      <c r="T624" s="11"/>
      <c r="U624" s="15"/>
      <c r="V624" s="11"/>
      <c r="W624" s="11"/>
      <c r="X624" s="11"/>
      <c r="Y624" s="11"/>
      <c r="Z624" s="11"/>
    </row>
    <row r="625">
      <c r="A625" s="18"/>
      <c r="B625" s="11"/>
      <c r="C625" s="11"/>
      <c r="D625" s="11"/>
      <c r="E625" s="11"/>
      <c r="F625" s="11"/>
      <c r="G625" s="11"/>
      <c r="H625" s="11"/>
      <c r="I625" s="11"/>
      <c r="J625" s="11"/>
      <c r="K625" s="11"/>
      <c r="L625" s="15"/>
      <c r="M625" s="15"/>
      <c r="N625" s="15"/>
      <c r="O625" s="15"/>
      <c r="P625" s="15"/>
      <c r="Q625" s="11"/>
      <c r="R625" s="11"/>
      <c r="S625" s="11"/>
      <c r="T625" s="11"/>
      <c r="U625" s="15"/>
      <c r="V625" s="11"/>
      <c r="W625" s="11"/>
      <c r="X625" s="11"/>
      <c r="Y625" s="11"/>
      <c r="Z625" s="11"/>
    </row>
    <row r="626">
      <c r="A626" s="18"/>
      <c r="B626" s="11"/>
      <c r="C626" s="11"/>
      <c r="D626" s="11"/>
      <c r="E626" s="11"/>
      <c r="F626" s="11"/>
      <c r="G626" s="11"/>
      <c r="H626" s="11"/>
      <c r="I626" s="11"/>
      <c r="J626" s="11"/>
      <c r="K626" s="11"/>
      <c r="L626" s="15"/>
      <c r="M626" s="15"/>
      <c r="N626" s="15"/>
      <c r="O626" s="15"/>
      <c r="P626" s="15"/>
      <c r="Q626" s="11"/>
      <c r="R626" s="11"/>
      <c r="S626" s="11"/>
      <c r="T626" s="11"/>
      <c r="U626" s="15"/>
      <c r="V626" s="11"/>
      <c r="W626" s="11"/>
      <c r="X626" s="11"/>
      <c r="Y626" s="11"/>
      <c r="Z626" s="11"/>
    </row>
    <row r="627">
      <c r="A627" s="18"/>
      <c r="B627" s="11"/>
      <c r="C627" s="11"/>
      <c r="D627" s="11"/>
      <c r="E627" s="11"/>
      <c r="F627" s="11"/>
      <c r="G627" s="11"/>
      <c r="H627" s="11"/>
      <c r="I627" s="11"/>
      <c r="J627" s="11"/>
      <c r="K627" s="11"/>
      <c r="L627" s="15"/>
      <c r="M627" s="15"/>
      <c r="N627" s="15"/>
      <c r="O627" s="15"/>
      <c r="P627" s="15"/>
      <c r="Q627" s="11"/>
      <c r="R627" s="11"/>
      <c r="S627" s="11"/>
      <c r="T627" s="11"/>
      <c r="U627" s="15"/>
      <c r="V627" s="11"/>
      <c r="W627" s="11"/>
      <c r="X627" s="11"/>
      <c r="Y627" s="11"/>
      <c r="Z627" s="11"/>
    </row>
    <row r="628">
      <c r="A628" s="18"/>
      <c r="B628" s="11"/>
      <c r="C628" s="11"/>
      <c r="D628" s="11"/>
      <c r="E628" s="11"/>
      <c r="F628" s="11"/>
      <c r="G628" s="11"/>
      <c r="H628" s="11"/>
      <c r="I628" s="11"/>
      <c r="J628" s="11"/>
      <c r="K628" s="11"/>
      <c r="L628" s="15"/>
      <c r="M628" s="15"/>
      <c r="N628" s="15"/>
      <c r="O628" s="15"/>
      <c r="P628" s="15"/>
      <c r="Q628" s="11"/>
      <c r="R628" s="11"/>
      <c r="S628" s="11"/>
      <c r="T628" s="11"/>
      <c r="U628" s="15"/>
      <c r="V628" s="11"/>
      <c r="W628" s="11"/>
      <c r="X628" s="11"/>
      <c r="Y628" s="11"/>
      <c r="Z628" s="11"/>
    </row>
    <row r="629">
      <c r="A629" s="18"/>
      <c r="B629" s="11"/>
      <c r="C629" s="11"/>
      <c r="D629" s="11"/>
      <c r="E629" s="11"/>
      <c r="F629" s="11"/>
      <c r="G629" s="11"/>
      <c r="H629" s="11"/>
      <c r="I629" s="11"/>
      <c r="J629" s="11"/>
      <c r="K629" s="11"/>
      <c r="L629" s="15"/>
      <c r="M629" s="15"/>
      <c r="N629" s="15"/>
      <c r="O629" s="15"/>
      <c r="P629" s="15"/>
      <c r="Q629" s="11"/>
      <c r="R629" s="11"/>
      <c r="S629" s="11"/>
      <c r="T629" s="11"/>
      <c r="U629" s="15"/>
      <c r="V629" s="11"/>
      <c r="W629" s="11"/>
      <c r="X629" s="11"/>
      <c r="Y629" s="11"/>
      <c r="Z629" s="11"/>
    </row>
    <row r="630">
      <c r="A630" s="18"/>
      <c r="B630" s="11"/>
      <c r="C630" s="11"/>
      <c r="D630" s="11"/>
      <c r="E630" s="11"/>
      <c r="F630" s="11"/>
      <c r="G630" s="11"/>
      <c r="H630" s="11"/>
      <c r="I630" s="11"/>
      <c r="J630" s="11"/>
      <c r="K630" s="11"/>
      <c r="L630" s="15"/>
      <c r="M630" s="15"/>
      <c r="N630" s="15"/>
      <c r="O630" s="15"/>
      <c r="P630" s="15"/>
      <c r="Q630" s="11"/>
      <c r="R630" s="11"/>
      <c r="S630" s="11"/>
      <c r="T630" s="11"/>
      <c r="U630" s="15"/>
      <c r="V630" s="11"/>
      <c r="W630" s="11"/>
      <c r="X630" s="11"/>
      <c r="Y630" s="11"/>
      <c r="Z630" s="11"/>
    </row>
    <row r="631">
      <c r="A631" s="18"/>
      <c r="B631" s="11"/>
      <c r="C631" s="11"/>
      <c r="D631" s="11"/>
      <c r="E631" s="11"/>
      <c r="F631" s="11"/>
      <c r="G631" s="11"/>
      <c r="H631" s="11"/>
      <c r="I631" s="11"/>
      <c r="J631" s="11"/>
      <c r="K631" s="11"/>
      <c r="L631" s="15"/>
      <c r="M631" s="15"/>
      <c r="N631" s="15"/>
      <c r="O631" s="15"/>
      <c r="P631" s="15"/>
      <c r="Q631" s="11"/>
      <c r="R631" s="11"/>
      <c r="S631" s="11"/>
      <c r="T631" s="11"/>
      <c r="U631" s="15"/>
      <c r="V631" s="11"/>
      <c r="W631" s="11"/>
      <c r="X631" s="11"/>
      <c r="Y631" s="11"/>
      <c r="Z631" s="11"/>
    </row>
    <row r="632">
      <c r="A632" s="18"/>
      <c r="B632" s="11"/>
      <c r="C632" s="11"/>
      <c r="D632" s="11"/>
      <c r="E632" s="11"/>
      <c r="F632" s="11"/>
      <c r="G632" s="11"/>
      <c r="H632" s="11"/>
      <c r="I632" s="11"/>
      <c r="J632" s="11"/>
      <c r="K632" s="11"/>
      <c r="L632" s="15"/>
      <c r="M632" s="15"/>
      <c r="N632" s="15"/>
      <c r="O632" s="15"/>
      <c r="P632" s="15"/>
      <c r="Q632" s="11"/>
      <c r="R632" s="11"/>
      <c r="S632" s="11"/>
      <c r="T632" s="11"/>
      <c r="U632" s="15"/>
      <c r="V632" s="11"/>
      <c r="W632" s="11"/>
      <c r="X632" s="11"/>
      <c r="Y632" s="11"/>
      <c r="Z632" s="11"/>
    </row>
    <row r="633">
      <c r="A633" s="18"/>
      <c r="B633" s="11"/>
      <c r="C633" s="11"/>
      <c r="D633" s="11"/>
      <c r="E633" s="11"/>
      <c r="F633" s="11"/>
      <c r="G633" s="11"/>
      <c r="H633" s="11"/>
      <c r="I633" s="11"/>
      <c r="J633" s="11"/>
      <c r="K633" s="11"/>
      <c r="L633" s="15"/>
      <c r="M633" s="15"/>
      <c r="N633" s="15"/>
      <c r="O633" s="15"/>
      <c r="P633" s="15"/>
      <c r="Q633" s="11"/>
      <c r="R633" s="11"/>
      <c r="S633" s="11"/>
      <c r="T633" s="11"/>
      <c r="U633" s="15"/>
      <c r="V633" s="11"/>
      <c r="W633" s="11"/>
      <c r="X633" s="11"/>
      <c r="Y633" s="11"/>
      <c r="Z633" s="11"/>
    </row>
    <row r="634">
      <c r="A634" s="18"/>
      <c r="B634" s="11"/>
      <c r="C634" s="11"/>
      <c r="D634" s="11"/>
      <c r="E634" s="11"/>
      <c r="F634" s="11"/>
      <c r="G634" s="11"/>
      <c r="H634" s="11"/>
      <c r="I634" s="11"/>
      <c r="J634" s="11"/>
      <c r="K634" s="11"/>
      <c r="L634" s="15"/>
      <c r="M634" s="15"/>
      <c r="N634" s="15"/>
      <c r="O634" s="15"/>
      <c r="P634" s="15"/>
      <c r="Q634" s="11"/>
      <c r="R634" s="11"/>
      <c r="S634" s="11"/>
      <c r="T634" s="11"/>
      <c r="U634" s="15"/>
      <c r="V634" s="11"/>
      <c r="W634" s="11"/>
      <c r="X634" s="11"/>
      <c r="Y634" s="11"/>
      <c r="Z634" s="11"/>
    </row>
    <row r="635">
      <c r="A635" s="18"/>
      <c r="B635" s="11"/>
      <c r="C635" s="11"/>
      <c r="D635" s="11"/>
      <c r="E635" s="11"/>
      <c r="F635" s="11"/>
      <c r="G635" s="11"/>
      <c r="H635" s="11"/>
      <c r="I635" s="11"/>
      <c r="J635" s="11"/>
      <c r="K635" s="11"/>
      <c r="L635" s="15"/>
      <c r="M635" s="15"/>
      <c r="N635" s="15"/>
      <c r="O635" s="15"/>
      <c r="P635" s="15"/>
      <c r="Q635" s="11"/>
      <c r="R635" s="11"/>
      <c r="S635" s="11"/>
      <c r="T635" s="11"/>
      <c r="U635" s="15"/>
      <c r="V635" s="11"/>
      <c r="W635" s="11"/>
      <c r="X635" s="11"/>
      <c r="Y635" s="11"/>
      <c r="Z635" s="11"/>
    </row>
    <row r="636">
      <c r="A636" s="18"/>
      <c r="B636" s="11"/>
      <c r="C636" s="11"/>
      <c r="D636" s="11"/>
      <c r="E636" s="11"/>
      <c r="F636" s="11"/>
      <c r="G636" s="11"/>
      <c r="H636" s="11"/>
      <c r="I636" s="11"/>
      <c r="J636" s="11"/>
      <c r="K636" s="11"/>
      <c r="L636" s="15"/>
      <c r="M636" s="15"/>
      <c r="N636" s="15"/>
      <c r="O636" s="15"/>
      <c r="P636" s="15"/>
      <c r="Q636" s="11"/>
      <c r="R636" s="11"/>
      <c r="S636" s="11"/>
      <c r="T636" s="11"/>
      <c r="U636" s="15"/>
      <c r="V636" s="11"/>
      <c r="W636" s="11"/>
      <c r="X636" s="11"/>
      <c r="Y636" s="11"/>
      <c r="Z636" s="11"/>
    </row>
    <row r="637">
      <c r="A637" s="18"/>
      <c r="B637" s="11"/>
      <c r="C637" s="11"/>
      <c r="D637" s="11"/>
      <c r="E637" s="11"/>
      <c r="F637" s="11"/>
      <c r="G637" s="11"/>
      <c r="H637" s="11"/>
      <c r="I637" s="11"/>
      <c r="J637" s="11"/>
      <c r="K637" s="11"/>
      <c r="L637" s="15"/>
      <c r="M637" s="15"/>
      <c r="N637" s="15"/>
      <c r="O637" s="15"/>
      <c r="P637" s="15"/>
      <c r="Q637" s="11"/>
      <c r="R637" s="11"/>
      <c r="S637" s="11"/>
      <c r="T637" s="11"/>
      <c r="U637" s="15"/>
      <c r="V637" s="11"/>
      <c r="W637" s="11"/>
      <c r="X637" s="11"/>
      <c r="Y637" s="11"/>
      <c r="Z637" s="11"/>
    </row>
    <row r="638">
      <c r="A638" s="18"/>
      <c r="B638" s="11"/>
      <c r="C638" s="11"/>
      <c r="D638" s="11"/>
      <c r="E638" s="11"/>
      <c r="F638" s="11"/>
      <c r="G638" s="11"/>
      <c r="H638" s="11"/>
      <c r="I638" s="11"/>
      <c r="J638" s="11"/>
      <c r="K638" s="11"/>
      <c r="L638" s="15"/>
      <c r="M638" s="15"/>
      <c r="N638" s="15"/>
      <c r="O638" s="15"/>
      <c r="P638" s="15"/>
      <c r="Q638" s="11"/>
      <c r="R638" s="11"/>
      <c r="S638" s="11"/>
      <c r="T638" s="11"/>
      <c r="U638" s="15"/>
      <c r="V638" s="11"/>
      <c r="W638" s="11"/>
      <c r="X638" s="11"/>
      <c r="Y638" s="11"/>
      <c r="Z638" s="11"/>
    </row>
    <row r="639">
      <c r="A639" s="18"/>
      <c r="B639" s="11"/>
      <c r="C639" s="11"/>
      <c r="D639" s="11"/>
      <c r="E639" s="11"/>
      <c r="F639" s="11"/>
      <c r="G639" s="11"/>
      <c r="H639" s="11"/>
      <c r="I639" s="11"/>
      <c r="J639" s="11"/>
      <c r="K639" s="11"/>
      <c r="L639" s="15"/>
      <c r="M639" s="15"/>
      <c r="N639" s="15"/>
      <c r="O639" s="15"/>
      <c r="P639" s="15"/>
      <c r="Q639" s="11"/>
      <c r="R639" s="11"/>
      <c r="S639" s="11"/>
      <c r="T639" s="11"/>
      <c r="U639" s="15"/>
      <c r="V639" s="11"/>
      <c r="W639" s="11"/>
      <c r="X639" s="11"/>
      <c r="Y639" s="11"/>
      <c r="Z639" s="11"/>
    </row>
    <row r="640">
      <c r="A640" s="18"/>
      <c r="B640" s="11"/>
      <c r="C640" s="11"/>
      <c r="D640" s="11"/>
      <c r="E640" s="11"/>
      <c r="F640" s="11"/>
      <c r="G640" s="11"/>
      <c r="H640" s="11"/>
      <c r="I640" s="11"/>
      <c r="J640" s="11"/>
      <c r="K640" s="11"/>
      <c r="L640" s="15"/>
      <c r="M640" s="15"/>
      <c r="N640" s="15"/>
      <c r="O640" s="15"/>
      <c r="P640" s="15"/>
      <c r="Q640" s="11"/>
      <c r="R640" s="11"/>
      <c r="S640" s="11"/>
      <c r="T640" s="11"/>
      <c r="U640" s="15"/>
      <c r="V640" s="11"/>
      <c r="W640" s="11"/>
      <c r="X640" s="11"/>
      <c r="Y640" s="11"/>
      <c r="Z640" s="11"/>
    </row>
    <row r="641">
      <c r="A641" s="18"/>
      <c r="B641" s="11"/>
      <c r="C641" s="11"/>
      <c r="D641" s="11"/>
      <c r="E641" s="11"/>
      <c r="F641" s="11"/>
      <c r="G641" s="11"/>
      <c r="H641" s="11"/>
      <c r="I641" s="11"/>
      <c r="J641" s="11"/>
      <c r="K641" s="11"/>
      <c r="L641" s="15"/>
      <c r="M641" s="15"/>
      <c r="N641" s="15"/>
      <c r="O641" s="15"/>
      <c r="P641" s="15"/>
      <c r="Q641" s="11"/>
      <c r="R641" s="11"/>
      <c r="S641" s="11"/>
      <c r="T641" s="11"/>
      <c r="U641" s="15"/>
      <c r="V641" s="11"/>
      <c r="W641" s="11"/>
      <c r="X641" s="11"/>
      <c r="Y641" s="11"/>
      <c r="Z641" s="11"/>
    </row>
    <row r="642">
      <c r="A642" s="18"/>
      <c r="B642" s="11"/>
      <c r="C642" s="11"/>
      <c r="D642" s="11"/>
      <c r="E642" s="11"/>
      <c r="F642" s="11"/>
      <c r="G642" s="11"/>
      <c r="H642" s="11"/>
      <c r="I642" s="11"/>
      <c r="J642" s="11"/>
      <c r="K642" s="11"/>
      <c r="L642" s="15"/>
      <c r="M642" s="15"/>
      <c r="N642" s="15"/>
      <c r="O642" s="15"/>
      <c r="P642" s="15"/>
      <c r="Q642" s="11"/>
      <c r="R642" s="11"/>
      <c r="S642" s="11"/>
      <c r="T642" s="11"/>
      <c r="U642" s="15"/>
      <c r="V642" s="11"/>
      <c r="W642" s="11"/>
      <c r="X642" s="11"/>
      <c r="Y642" s="11"/>
      <c r="Z642" s="11"/>
    </row>
    <row r="643">
      <c r="A643" s="18"/>
      <c r="B643" s="11"/>
      <c r="C643" s="11"/>
      <c r="D643" s="11"/>
      <c r="E643" s="11"/>
      <c r="F643" s="11"/>
      <c r="G643" s="11"/>
      <c r="H643" s="11"/>
      <c r="I643" s="11"/>
      <c r="J643" s="11"/>
      <c r="K643" s="11"/>
      <c r="L643" s="15"/>
      <c r="M643" s="15"/>
      <c r="N643" s="15"/>
      <c r="O643" s="15"/>
      <c r="P643" s="15"/>
      <c r="Q643" s="11"/>
      <c r="R643" s="11"/>
      <c r="S643" s="11"/>
      <c r="T643" s="11"/>
      <c r="U643" s="15"/>
      <c r="V643" s="11"/>
      <c r="W643" s="11"/>
      <c r="X643" s="11"/>
      <c r="Y643" s="11"/>
      <c r="Z643" s="11"/>
    </row>
    <row r="644">
      <c r="A644" s="18"/>
      <c r="B644" s="11"/>
      <c r="C644" s="11"/>
      <c r="D644" s="11"/>
      <c r="E644" s="11"/>
      <c r="F644" s="11"/>
      <c r="G644" s="11"/>
      <c r="H644" s="11"/>
      <c r="I644" s="11"/>
      <c r="J644" s="11"/>
      <c r="K644" s="11"/>
      <c r="L644" s="15"/>
      <c r="M644" s="15"/>
      <c r="N644" s="15"/>
      <c r="O644" s="15"/>
      <c r="P644" s="15"/>
      <c r="Q644" s="11"/>
      <c r="R644" s="11"/>
      <c r="S644" s="11"/>
      <c r="T644" s="11"/>
      <c r="U644" s="15"/>
      <c r="V644" s="11"/>
      <c r="W644" s="11"/>
      <c r="X644" s="11"/>
      <c r="Y644" s="11"/>
      <c r="Z644" s="11"/>
    </row>
    <row r="645">
      <c r="A645" s="18"/>
      <c r="B645" s="11"/>
      <c r="C645" s="11"/>
      <c r="D645" s="11"/>
      <c r="E645" s="11"/>
      <c r="F645" s="11"/>
      <c r="G645" s="11"/>
      <c r="H645" s="11"/>
      <c r="I645" s="11"/>
      <c r="J645" s="11"/>
      <c r="K645" s="11"/>
      <c r="L645" s="15"/>
      <c r="M645" s="15"/>
      <c r="N645" s="15"/>
      <c r="O645" s="15"/>
      <c r="P645" s="15"/>
      <c r="Q645" s="11"/>
      <c r="R645" s="11"/>
      <c r="S645" s="11"/>
      <c r="T645" s="11"/>
      <c r="U645" s="15"/>
      <c r="V645" s="11"/>
      <c r="W645" s="11"/>
      <c r="X645" s="11"/>
      <c r="Y645" s="11"/>
      <c r="Z645" s="11"/>
    </row>
    <row r="646">
      <c r="A646" s="18"/>
      <c r="B646" s="11"/>
      <c r="C646" s="11"/>
      <c r="D646" s="11"/>
      <c r="E646" s="11"/>
      <c r="F646" s="11"/>
      <c r="G646" s="11"/>
      <c r="H646" s="11"/>
      <c r="I646" s="11"/>
      <c r="J646" s="11"/>
      <c r="K646" s="11"/>
      <c r="L646" s="15"/>
      <c r="M646" s="15"/>
      <c r="N646" s="15"/>
      <c r="O646" s="15"/>
      <c r="P646" s="15"/>
      <c r="Q646" s="11"/>
      <c r="R646" s="11"/>
      <c r="S646" s="11"/>
      <c r="T646" s="11"/>
      <c r="U646" s="15"/>
      <c r="V646" s="11"/>
      <c r="W646" s="11"/>
      <c r="X646" s="11"/>
      <c r="Y646" s="11"/>
      <c r="Z646" s="11"/>
    </row>
    <row r="647">
      <c r="A647" s="18"/>
      <c r="B647" s="11"/>
      <c r="C647" s="11"/>
      <c r="D647" s="11"/>
      <c r="E647" s="11"/>
      <c r="F647" s="11"/>
      <c r="G647" s="11"/>
      <c r="H647" s="11"/>
      <c r="I647" s="11"/>
      <c r="J647" s="11"/>
      <c r="K647" s="11"/>
      <c r="L647" s="15"/>
      <c r="M647" s="15"/>
      <c r="N647" s="15"/>
      <c r="O647" s="15"/>
      <c r="P647" s="15"/>
      <c r="Q647" s="11"/>
      <c r="R647" s="11"/>
      <c r="S647" s="11"/>
      <c r="T647" s="11"/>
      <c r="U647" s="15"/>
      <c r="V647" s="11"/>
      <c r="W647" s="11"/>
      <c r="X647" s="11"/>
      <c r="Y647" s="11"/>
      <c r="Z647" s="11"/>
    </row>
    <row r="648">
      <c r="A648" s="18"/>
      <c r="B648" s="11"/>
      <c r="C648" s="11"/>
      <c r="D648" s="11"/>
      <c r="E648" s="11"/>
      <c r="F648" s="11"/>
      <c r="G648" s="11"/>
      <c r="H648" s="11"/>
      <c r="I648" s="11"/>
      <c r="J648" s="11"/>
      <c r="K648" s="11"/>
      <c r="L648" s="15"/>
      <c r="M648" s="15"/>
      <c r="N648" s="15"/>
      <c r="O648" s="15"/>
      <c r="P648" s="15"/>
      <c r="Q648" s="11"/>
      <c r="R648" s="11"/>
      <c r="S648" s="11"/>
      <c r="T648" s="11"/>
      <c r="U648" s="15"/>
      <c r="V648" s="11"/>
      <c r="W648" s="11"/>
      <c r="X648" s="11"/>
      <c r="Y648" s="11"/>
      <c r="Z648" s="11"/>
    </row>
    <row r="649">
      <c r="A649" s="18"/>
      <c r="B649" s="11"/>
      <c r="C649" s="11"/>
      <c r="D649" s="11"/>
      <c r="E649" s="11"/>
      <c r="F649" s="11"/>
      <c r="G649" s="11"/>
      <c r="H649" s="11"/>
      <c r="I649" s="11"/>
      <c r="J649" s="11"/>
      <c r="K649" s="11"/>
      <c r="L649" s="15"/>
      <c r="M649" s="15"/>
      <c r="N649" s="15"/>
      <c r="O649" s="15"/>
      <c r="P649" s="15"/>
      <c r="Q649" s="11"/>
      <c r="R649" s="11"/>
      <c r="S649" s="11"/>
      <c r="T649" s="11"/>
      <c r="U649" s="15"/>
      <c r="V649" s="11"/>
      <c r="W649" s="11"/>
      <c r="X649" s="11"/>
      <c r="Y649" s="11"/>
      <c r="Z649" s="11"/>
    </row>
    <row r="650">
      <c r="A650" s="18"/>
      <c r="B650" s="11"/>
      <c r="C650" s="11"/>
      <c r="D650" s="11"/>
      <c r="E650" s="11"/>
      <c r="F650" s="11"/>
      <c r="G650" s="11"/>
      <c r="H650" s="11"/>
      <c r="I650" s="11"/>
      <c r="J650" s="11"/>
      <c r="K650" s="11"/>
      <c r="L650" s="15"/>
      <c r="M650" s="15"/>
      <c r="N650" s="15"/>
      <c r="O650" s="15"/>
      <c r="P650" s="15"/>
      <c r="Q650" s="11"/>
      <c r="R650" s="11"/>
      <c r="S650" s="11"/>
      <c r="T650" s="11"/>
      <c r="U650" s="15"/>
      <c r="V650" s="11"/>
      <c r="W650" s="11"/>
      <c r="X650" s="11"/>
      <c r="Y650" s="11"/>
      <c r="Z650" s="11"/>
    </row>
    <row r="651">
      <c r="A651" s="18"/>
      <c r="B651" s="11"/>
      <c r="C651" s="11"/>
      <c r="D651" s="11"/>
      <c r="E651" s="11"/>
      <c r="F651" s="11"/>
      <c r="G651" s="11"/>
      <c r="H651" s="11"/>
      <c r="I651" s="11"/>
      <c r="J651" s="11"/>
      <c r="K651" s="11"/>
      <c r="L651" s="15"/>
      <c r="M651" s="15"/>
      <c r="N651" s="15"/>
      <c r="O651" s="15"/>
      <c r="P651" s="15"/>
      <c r="Q651" s="11"/>
      <c r="R651" s="11"/>
      <c r="S651" s="11"/>
      <c r="T651" s="11"/>
      <c r="U651" s="15"/>
      <c r="V651" s="11"/>
      <c r="W651" s="11"/>
      <c r="X651" s="11"/>
      <c r="Y651" s="11"/>
      <c r="Z651" s="11"/>
    </row>
    <row r="652">
      <c r="A652" s="18"/>
      <c r="B652" s="11"/>
      <c r="C652" s="11"/>
      <c r="D652" s="11"/>
      <c r="E652" s="11"/>
      <c r="F652" s="11"/>
      <c r="G652" s="11"/>
      <c r="H652" s="11"/>
      <c r="I652" s="11"/>
      <c r="J652" s="11"/>
      <c r="K652" s="11"/>
      <c r="L652" s="15"/>
      <c r="M652" s="15"/>
      <c r="N652" s="15"/>
      <c r="O652" s="15"/>
      <c r="P652" s="15"/>
      <c r="Q652" s="11"/>
      <c r="R652" s="11"/>
      <c r="S652" s="11"/>
      <c r="T652" s="11"/>
      <c r="U652" s="15"/>
      <c r="V652" s="11"/>
      <c r="W652" s="11"/>
      <c r="X652" s="11"/>
      <c r="Y652" s="11"/>
      <c r="Z652" s="11"/>
    </row>
    <row r="653">
      <c r="A653" s="18"/>
      <c r="B653" s="11"/>
      <c r="C653" s="11"/>
      <c r="D653" s="11"/>
      <c r="E653" s="11"/>
      <c r="F653" s="11"/>
      <c r="G653" s="11"/>
      <c r="H653" s="11"/>
      <c r="I653" s="11"/>
      <c r="J653" s="11"/>
      <c r="K653" s="11"/>
      <c r="L653" s="15"/>
      <c r="M653" s="15"/>
      <c r="N653" s="15"/>
      <c r="O653" s="15"/>
      <c r="P653" s="15"/>
      <c r="Q653" s="11"/>
      <c r="R653" s="11"/>
      <c r="S653" s="11"/>
      <c r="T653" s="11"/>
      <c r="U653" s="15"/>
      <c r="V653" s="11"/>
      <c r="W653" s="11"/>
      <c r="X653" s="11"/>
      <c r="Y653" s="11"/>
      <c r="Z653" s="11"/>
    </row>
    <row r="654">
      <c r="A654" s="18"/>
      <c r="B654" s="11"/>
      <c r="C654" s="11"/>
      <c r="D654" s="11"/>
      <c r="E654" s="11"/>
      <c r="F654" s="11"/>
      <c r="G654" s="11"/>
      <c r="H654" s="11"/>
      <c r="I654" s="11"/>
      <c r="J654" s="11"/>
      <c r="K654" s="11"/>
      <c r="L654" s="15"/>
      <c r="M654" s="15"/>
      <c r="N654" s="15"/>
      <c r="O654" s="15"/>
      <c r="P654" s="15"/>
      <c r="Q654" s="11"/>
      <c r="R654" s="11"/>
      <c r="S654" s="11"/>
      <c r="T654" s="11"/>
      <c r="U654" s="15"/>
      <c r="V654" s="11"/>
      <c r="W654" s="11"/>
      <c r="X654" s="11"/>
      <c r="Y654" s="11"/>
      <c r="Z654" s="11"/>
    </row>
    <row r="655">
      <c r="A655" s="18"/>
      <c r="B655" s="11"/>
      <c r="C655" s="11"/>
      <c r="D655" s="11"/>
      <c r="E655" s="11"/>
      <c r="F655" s="11"/>
      <c r="G655" s="11"/>
      <c r="H655" s="11"/>
      <c r="I655" s="11"/>
      <c r="J655" s="11"/>
      <c r="K655" s="11"/>
      <c r="L655" s="15"/>
      <c r="M655" s="15"/>
      <c r="N655" s="15"/>
      <c r="O655" s="15"/>
      <c r="P655" s="15"/>
      <c r="Q655" s="11"/>
      <c r="R655" s="11"/>
      <c r="S655" s="11"/>
      <c r="T655" s="11"/>
      <c r="U655" s="15"/>
      <c r="V655" s="11"/>
      <c r="W655" s="11"/>
      <c r="X655" s="11"/>
      <c r="Y655" s="11"/>
      <c r="Z655" s="11"/>
    </row>
    <row r="656">
      <c r="A656" s="18"/>
      <c r="B656" s="11"/>
      <c r="C656" s="11"/>
      <c r="D656" s="11"/>
      <c r="E656" s="11"/>
      <c r="F656" s="11"/>
      <c r="G656" s="11"/>
      <c r="H656" s="11"/>
      <c r="I656" s="11"/>
      <c r="J656" s="11"/>
      <c r="K656" s="11"/>
      <c r="L656" s="15"/>
      <c r="M656" s="15"/>
      <c r="N656" s="15"/>
      <c r="O656" s="15"/>
      <c r="P656" s="15"/>
      <c r="Q656" s="11"/>
      <c r="R656" s="11"/>
      <c r="S656" s="11"/>
      <c r="T656" s="11"/>
      <c r="U656" s="15"/>
      <c r="V656" s="11"/>
      <c r="W656" s="11"/>
      <c r="X656" s="11"/>
      <c r="Y656" s="11"/>
      <c r="Z656" s="11"/>
    </row>
    <row r="657">
      <c r="A657" s="18"/>
      <c r="B657" s="11"/>
      <c r="C657" s="11"/>
      <c r="D657" s="11"/>
      <c r="E657" s="11"/>
      <c r="F657" s="11"/>
      <c r="G657" s="11"/>
      <c r="H657" s="11"/>
      <c r="I657" s="11"/>
      <c r="J657" s="11"/>
      <c r="K657" s="11"/>
      <c r="L657" s="15"/>
      <c r="M657" s="15"/>
      <c r="N657" s="15"/>
      <c r="O657" s="15"/>
      <c r="P657" s="15"/>
      <c r="Q657" s="11"/>
      <c r="R657" s="11"/>
      <c r="S657" s="11"/>
      <c r="T657" s="11"/>
      <c r="U657" s="15"/>
      <c r="V657" s="11"/>
      <c r="W657" s="11"/>
      <c r="X657" s="11"/>
      <c r="Y657" s="11"/>
      <c r="Z657" s="11"/>
    </row>
    <row r="658">
      <c r="A658" s="18"/>
      <c r="B658" s="11"/>
      <c r="C658" s="11"/>
      <c r="D658" s="11"/>
      <c r="E658" s="11"/>
      <c r="F658" s="11"/>
      <c r="G658" s="11"/>
      <c r="H658" s="11"/>
      <c r="I658" s="11"/>
      <c r="J658" s="11"/>
      <c r="K658" s="11"/>
      <c r="L658" s="15"/>
      <c r="M658" s="15"/>
      <c r="N658" s="15"/>
      <c r="O658" s="15"/>
      <c r="P658" s="15"/>
      <c r="Q658" s="11"/>
      <c r="R658" s="11"/>
      <c r="S658" s="11"/>
      <c r="T658" s="11"/>
      <c r="U658" s="15"/>
      <c r="V658" s="11"/>
      <c r="W658" s="11"/>
      <c r="X658" s="11"/>
      <c r="Y658" s="11"/>
      <c r="Z658" s="11"/>
    </row>
    <row r="659">
      <c r="A659" s="18"/>
      <c r="B659" s="11"/>
      <c r="C659" s="11"/>
      <c r="D659" s="11"/>
      <c r="E659" s="11"/>
      <c r="F659" s="11"/>
      <c r="G659" s="11"/>
      <c r="H659" s="11"/>
      <c r="I659" s="11"/>
      <c r="J659" s="11"/>
      <c r="K659" s="11"/>
      <c r="L659" s="15"/>
      <c r="M659" s="15"/>
      <c r="N659" s="15"/>
      <c r="O659" s="15"/>
      <c r="P659" s="15"/>
      <c r="Q659" s="11"/>
      <c r="R659" s="11"/>
      <c r="S659" s="11"/>
      <c r="T659" s="11"/>
      <c r="U659" s="15"/>
      <c r="V659" s="11"/>
      <c r="W659" s="11"/>
      <c r="X659" s="11"/>
      <c r="Y659" s="11"/>
      <c r="Z659" s="11"/>
    </row>
    <row r="660">
      <c r="A660" s="18"/>
      <c r="B660" s="11"/>
      <c r="C660" s="11"/>
      <c r="D660" s="11"/>
      <c r="E660" s="11"/>
      <c r="F660" s="11"/>
      <c r="G660" s="11"/>
      <c r="H660" s="11"/>
      <c r="I660" s="11"/>
      <c r="J660" s="11"/>
      <c r="K660" s="11"/>
      <c r="L660" s="15"/>
      <c r="M660" s="15"/>
      <c r="N660" s="15"/>
      <c r="O660" s="15"/>
      <c r="P660" s="15"/>
      <c r="Q660" s="11"/>
      <c r="R660" s="11"/>
      <c r="S660" s="11"/>
      <c r="T660" s="11"/>
      <c r="U660" s="15"/>
      <c r="V660" s="11"/>
      <c r="W660" s="11"/>
      <c r="X660" s="11"/>
      <c r="Y660" s="11"/>
      <c r="Z660" s="11"/>
    </row>
    <row r="661">
      <c r="A661" s="18"/>
      <c r="B661" s="11"/>
      <c r="C661" s="11"/>
      <c r="D661" s="11"/>
      <c r="E661" s="11"/>
      <c r="F661" s="11"/>
      <c r="G661" s="11"/>
      <c r="H661" s="11"/>
      <c r="I661" s="11"/>
      <c r="J661" s="11"/>
      <c r="K661" s="11"/>
      <c r="L661" s="15"/>
      <c r="M661" s="15"/>
      <c r="N661" s="15"/>
      <c r="O661" s="15"/>
      <c r="P661" s="15"/>
      <c r="Q661" s="11"/>
      <c r="R661" s="11"/>
      <c r="S661" s="11"/>
      <c r="T661" s="11"/>
      <c r="U661" s="15"/>
      <c r="V661" s="11"/>
      <c r="W661" s="11"/>
      <c r="X661" s="11"/>
      <c r="Y661" s="11"/>
      <c r="Z661" s="11"/>
    </row>
    <row r="662">
      <c r="A662" s="18"/>
      <c r="B662" s="11"/>
      <c r="C662" s="11"/>
      <c r="D662" s="11"/>
      <c r="E662" s="11"/>
      <c r="F662" s="11"/>
      <c r="G662" s="11"/>
      <c r="H662" s="11"/>
      <c r="I662" s="11"/>
      <c r="J662" s="11"/>
      <c r="K662" s="11"/>
      <c r="L662" s="15"/>
      <c r="M662" s="15"/>
      <c r="N662" s="15"/>
      <c r="O662" s="15"/>
      <c r="P662" s="15"/>
      <c r="Q662" s="11"/>
      <c r="R662" s="11"/>
      <c r="S662" s="11"/>
      <c r="T662" s="11"/>
      <c r="U662" s="15"/>
      <c r="V662" s="11"/>
      <c r="W662" s="11"/>
      <c r="X662" s="11"/>
      <c r="Y662" s="11"/>
      <c r="Z662" s="11"/>
    </row>
    <row r="663">
      <c r="A663" s="18"/>
      <c r="B663" s="11"/>
      <c r="C663" s="11"/>
      <c r="D663" s="11"/>
      <c r="E663" s="11"/>
      <c r="F663" s="11"/>
      <c r="G663" s="11"/>
      <c r="H663" s="11"/>
      <c r="I663" s="11"/>
      <c r="J663" s="11"/>
      <c r="K663" s="11"/>
      <c r="L663" s="15"/>
      <c r="M663" s="15"/>
      <c r="N663" s="15"/>
      <c r="O663" s="15"/>
      <c r="P663" s="15"/>
      <c r="Q663" s="11"/>
      <c r="R663" s="11"/>
      <c r="S663" s="11"/>
      <c r="T663" s="11"/>
      <c r="U663" s="15"/>
      <c r="V663" s="11"/>
      <c r="W663" s="11"/>
      <c r="X663" s="11"/>
      <c r="Y663" s="11"/>
      <c r="Z663" s="11"/>
    </row>
    <row r="664">
      <c r="A664" s="18"/>
      <c r="B664" s="11"/>
      <c r="C664" s="11"/>
      <c r="D664" s="11"/>
      <c r="E664" s="11"/>
      <c r="F664" s="11"/>
      <c r="G664" s="11"/>
      <c r="H664" s="11"/>
      <c r="I664" s="11"/>
      <c r="J664" s="11"/>
      <c r="K664" s="11"/>
      <c r="L664" s="15"/>
      <c r="M664" s="15"/>
      <c r="N664" s="15"/>
      <c r="O664" s="15"/>
      <c r="P664" s="15"/>
      <c r="Q664" s="11"/>
      <c r="R664" s="11"/>
      <c r="S664" s="11"/>
      <c r="T664" s="11"/>
      <c r="U664" s="15"/>
      <c r="V664" s="11"/>
      <c r="W664" s="11"/>
      <c r="X664" s="11"/>
      <c r="Y664" s="11"/>
      <c r="Z664" s="11"/>
    </row>
    <row r="665">
      <c r="A665" s="18"/>
      <c r="B665" s="11"/>
      <c r="C665" s="11"/>
      <c r="D665" s="11"/>
      <c r="E665" s="11"/>
      <c r="F665" s="11"/>
      <c r="G665" s="11"/>
      <c r="H665" s="11"/>
      <c r="I665" s="11"/>
      <c r="J665" s="11"/>
      <c r="K665" s="11"/>
      <c r="L665" s="15"/>
      <c r="M665" s="15"/>
      <c r="N665" s="15"/>
      <c r="O665" s="15"/>
      <c r="P665" s="15"/>
      <c r="Q665" s="11"/>
      <c r="R665" s="11"/>
      <c r="S665" s="11"/>
      <c r="T665" s="11"/>
      <c r="U665" s="15"/>
      <c r="V665" s="11"/>
      <c r="W665" s="11"/>
      <c r="X665" s="11"/>
      <c r="Y665" s="11"/>
      <c r="Z665" s="11"/>
    </row>
    <row r="666">
      <c r="A666" s="18"/>
      <c r="B666" s="11"/>
      <c r="C666" s="11"/>
      <c r="D666" s="11"/>
      <c r="E666" s="11"/>
      <c r="F666" s="11"/>
      <c r="G666" s="11"/>
      <c r="H666" s="11"/>
      <c r="I666" s="11"/>
      <c r="J666" s="11"/>
      <c r="K666" s="11"/>
      <c r="L666" s="15"/>
      <c r="M666" s="15"/>
      <c r="N666" s="15"/>
      <c r="O666" s="15"/>
      <c r="P666" s="15"/>
      <c r="Q666" s="11"/>
      <c r="R666" s="11"/>
      <c r="S666" s="11"/>
      <c r="T666" s="11"/>
      <c r="U666" s="15"/>
      <c r="V666" s="11"/>
      <c r="W666" s="11"/>
      <c r="X666" s="11"/>
      <c r="Y666" s="11"/>
      <c r="Z666" s="11"/>
    </row>
    <row r="667">
      <c r="A667" s="18"/>
      <c r="B667" s="11"/>
      <c r="C667" s="11"/>
      <c r="D667" s="11"/>
      <c r="E667" s="11"/>
      <c r="F667" s="11"/>
      <c r="G667" s="11"/>
      <c r="H667" s="11"/>
      <c r="I667" s="11"/>
      <c r="J667" s="11"/>
      <c r="K667" s="11"/>
      <c r="L667" s="15"/>
      <c r="M667" s="15"/>
      <c r="N667" s="15"/>
      <c r="O667" s="15"/>
      <c r="P667" s="15"/>
      <c r="Q667" s="11"/>
      <c r="R667" s="11"/>
      <c r="S667" s="11"/>
      <c r="T667" s="11"/>
      <c r="U667" s="15"/>
      <c r="V667" s="11"/>
      <c r="W667" s="11"/>
      <c r="X667" s="11"/>
      <c r="Y667" s="11"/>
      <c r="Z667" s="11"/>
    </row>
    <row r="668">
      <c r="A668" s="18"/>
      <c r="B668" s="11"/>
      <c r="C668" s="11"/>
      <c r="D668" s="11"/>
      <c r="E668" s="11"/>
      <c r="F668" s="11"/>
      <c r="G668" s="11"/>
      <c r="H668" s="11"/>
      <c r="I668" s="11"/>
      <c r="J668" s="11"/>
      <c r="K668" s="11"/>
      <c r="L668" s="15"/>
      <c r="M668" s="15"/>
      <c r="N668" s="15"/>
      <c r="O668" s="15"/>
      <c r="P668" s="15"/>
      <c r="Q668" s="11"/>
      <c r="R668" s="11"/>
      <c r="S668" s="11"/>
      <c r="T668" s="11"/>
      <c r="U668" s="15"/>
      <c r="V668" s="11"/>
      <c r="W668" s="11"/>
      <c r="X668" s="11"/>
      <c r="Y668" s="11"/>
      <c r="Z668" s="11"/>
    </row>
    <row r="669">
      <c r="A669" s="18"/>
      <c r="B669" s="11"/>
      <c r="C669" s="11"/>
      <c r="D669" s="11"/>
      <c r="E669" s="11"/>
      <c r="F669" s="11"/>
      <c r="G669" s="11"/>
      <c r="H669" s="11"/>
      <c r="I669" s="11"/>
      <c r="J669" s="11"/>
      <c r="K669" s="11"/>
      <c r="L669" s="15"/>
      <c r="M669" s="15"/>
      <c r="N669" s="15"/>
      <c r="O669" s="15"/>
      <c r="P669" s="15"/>
      <c r="Q669" s="11"/>
      <c r="R669" s="11"/>
      <c r="S669" s="11"/>
      <c r="T669" s="11"/>
      <c r="U669" s="15"/>
      <c r="V669" s="11"/>
      <c r="W669" s="11"/>
      <c r="X669" s="11"/>
      <c r="Y669" s="11"/>
      <c r="Z669" s="11"/>
    </row>
    <row r="670">
      <c r="A670" s="18"/>
      <c r="B670" s="11"/>
      <c r="C670" s="11"/>
      <c r="D670" s="11"/>
      <c r="E670" s="11"/>
      <c r="F670" s="11"/>
      <c r="G670" s="11"/>
      <c r="H670" s="11"/>
      <c r="I670" s="11"/>
      <c r="J670" s="11"/>
      <c r="K670" s="11"/>
      <c r="L670" s="15"/>
      <c r="M670" s="15"/>
      <c r="N670" s="15"/>
      <c r="O670" s="15"/>
      <c r="P670" s="15"/>
      <c r="Q670" s="11"/>
      <c r="R670" s="11"/>
      <c r="S670" s="11"/>
      <c r="T670" s="11"/>
      <c r="U670" s="15"/>
      <c r="V670" s="11"/>
      <c r="W670" s="11"/>
      <c r="X670" s="11"/>
      <c r="Y670" s="11"/>
      <c r="Z670" s="11"/>
    </row>
    <row r="671">
      <c r="A671" s="18"/>
      <c r="B671" s="11"/>
      <c r="C671" s="11"/>
      <c r="D671" s="11"/>
      <c r="E671" s="11"/>
      <c r="F671" s="11"/>
      <c r="G671" s="11"/>
      <c r="H671" s="11"/>
      <c r="I671" s="11"/>
      <c r="J671" s="11"/>
      <c r="K671" s="11"/>
      <c r="L671" s="15"/>
      <c r="M671" s="15"/>
      <c r="N671" s="15"/>
      <c r="O671" s="15"/>
      <c r="P671" s="15"/>
      <c r="Q671" s="11"/>
      <c r="R671" s="11"/>
      <c r="S671" s="11"/>
      <c r="T671" s="11"/>
      <c r="U671" s="15"/>
      <c r="V671" s="11"/>
      <c r="W671" s="11"/>
      <c r="X671" s="11"/>
      <c r="Y671" s="11"/>
      <c r="Z671" s="11"/>
    </row>
    <row r="672">
      <c r="A672" s="18"/>
      <c r="B672" s="11"/>
      <c r="C672" s="11"/>
      <c r="D672" s="11"/>
      <c r="E672" s="11"/>
      <c r="F672" s="11"/>
      <c r="G672" s="11"/>
      <c r="H672" s="11"/>
      <c r="I672" s="11"/>
      <c r="J672" s="11"/>
      <c r="K672" s="11"/>
      <c r="L672" s="15"/>
      <c r="M672" s="15"/>
      <c r="N672" s="15"/>
      <c r="O672" s="15"/>
      <c r="P672" s="15"/>
      <c r="Q672" s="11"/>
      <c r="R672" s="11"/>
      <c r="S672" s="11"/>
      <c r="T672" s="11"/>
      <c r="U672" s="15"/>
      <c r="V672" s="11"/>
      <c r="W672" s="11"/>
      <c r="X672" s="11"/>
      <c r="Y672" s="11"/>
      <c r="Z672" s="11"/>
    </row>
    <row r="673">
      <c r="A673" s="18"/>
      <c r="B673" s="11"/>
      <c r="C673" s="11"/>
      <c r="D673" s="11"/>
      <c r="E673" s="11"/>
      <c r="F673" s="11"/>
      <c r="G673" s="11"/>
      <c r="H673" s="11"/>
      <c r="I673" s="11"/>
      <c r="J673" s="11"/>
      <c r="K673" s="11"/>
      <c r="L673" s="15"/>
      <c r="M673" s="15"/>
      <c r="N673" s="15"/>
      <c r="O673" s="15"/>
      <c r="P673" s="15"/>
      <c r="Q673" s="11"/>
      <c r="R673" s="11"/>
      <c r="S673" s="11"/>
      <c r="T673" s="11"/>
      <c r="U673" s="15"/>
      <c r="V673" s="11"/>
      <c r="W673" s="11"/>
      <c r="X673" s="11"/>
      <c r="Y673" s="11"/>
      <c r="Z673" s="11"/>
    </row>
    <row r="674">
      <c r="A674" s="18"/>
      <c r="B674" s="11"/>
      <c r="C674" s="11"/>
      <c r="D674" s="11"/>
      <c r="E674" s="11"/>
      <c r="F674" s="11"/>
      <c r="G674" s="11"/>
      <c r="H674" s="11"/>
      <c r="I674" s="11"/>
      <c r="J674" s="11"/>
      <c r="K674" s="11"/>
      <c r="L674" s="15"/>
      <c r="M674" s="15"/>
      <c r="N674" s="15"/>
      <c r="O674" s="15"/>
      <c r="P674" s="15"/>
      <c r="Q674" s="11"/>
      <c r="R674" s="11"/>
      <c r="S674" s="11"/>
      <c r="T674" s="11"/>
      <c r="U674" s="15"/>
      <c r="V674" s="11"/>
      <c r="W674" s="11"/>
      <c r="X674" s="11"/>
      <c r="Y674" s="11"/>
      <c r="Z674" s="11"/>
    </row>
    <row r="675">
      <c r="A675" s="18"/>
      <c r="B675" s="11"/>
      <c r="C675" s="11"/>
      <c r="D675" s="11"/>
      <c r="E675" s="11"/>
      <c r="F675" s="11"/>
      <c r="G675" s="11"/>
      <c r="H675" s="11"/>
      <c r="I675" s="11"/>
      <c r="J675" s="11"/>
      <c r="K675" s="11"/>
      <c r="L675" s="15"/>
      <c r="M675" s="15"/>
      <c r="N675" s="15"/>
      <c r="O675" s="15"/>
      <c r="P675" s="15"/>
      <c r="Q675" s="11"/>
      <c r="R675" s="11"/>
      <c r="S675" s="11"/>
      <c r="T675" s="11"/>
      <c r="U675" s="15"/>
      <c r="V675" s="11"/>
      <c r="W675" s="11"/>
      <c r="X675" s="11"/>
      <c r="Y675" s="11"/>
      <c r="Z675" s="11"/>
    </row>
    <row r="676">
      <c r="A676" s="18"/>
      <c r="B676" s="11"/>
      <c r="C676" s="11"/>
      <c r="D676" s="11"/>
      <c r="E676" s="11"/>
      <c r="F676" s="11"/>
      <c r="G676" s="11"/>
      <c r="H676" s="11"/>
      <c r="I676" s="11"/>
      <c r="J676" s="11"/>
      <c r="K676" s="11"/>
      <c r="L676" s="15"/>
      <c r="M676" s="15"/>
      <c r="N676" s="15"/>
      <c r="O676" s="15"/>
      <c r="P676" s="15"/>
      <c r="Q676" s="11"/>
      <c r="R676" s="11"/>
      <c r="S676" s="11"/>
      <c r="T676" s="11"/>
      <c r="U676" s="15"/>
      <c r="V676" s="11"/>
      <c r="W676" s="11"/>
      <c r="X676" s="11"/>
      <c r="Y676" s="11"/>
      <c r="Z676" s="11"/>
    </row>
    <row r="677">
      <c r="A677" s="18"/>
      <c r="B677" s="11"/>
      <c r="C677" s="11"/>
      <c r="D677" s="11"/>
      <c r="E677" s="11"/>
      <c r="F677" s="11"/>
      <c r="G677" s="11"/>
      <c r="H677" s="11"/>
      <c r="I677" s="11"/>
      <c r="J677" s="11"/>
      <c r="K677" s="11"/>
      <c r="L677" s="15"/>
      <c r="M677" s="15"/>
      <c r="N677" s="15"/>
      <c r="O677" s="15"/>
      <c r="P677" s="15"/>
      <c r="Q677" s="11"/>
      <c r="R677" s="11"/>
      <c r="S677" s="11"/>
      <c r="T677" s="11"/>
      <c r="U677" s="15"/>
      <c r="V677" s="11"/>
      <c r="W677" s="11"/>
      <c r="X677" s="11"/>
      <c r="Y677" s="11"/>
      <c r="Z677" s="11"/>
    </row>
    <row r="678">
      <c r="A678" s="18"/>
      <c r="B678" s="11"/>
      <c r="C678" s="11"/>
      <c r="D678" s="11"/>
      <c r="E678" s="11"/>
      <c r="F678" s="11"/>
      <c r="G678" s="11"/>
      <c r="H678" s="11"/>
      <c r="I678" s="11"/>
      <c r="J678" s="11"/>
      <c r="K678" s="11"/>
      <c r="L678" s="15"/>
      <c r="M678" s="15"/>
      <c r="N678" s="15"/>
      <c r="O678" s="15"/>
      <c r="P678" s="15"/>
      <c r="Q678" s="11"/>
      <c r="R678" s="11"/>
      <c r="S678" s="11"/>
      <c r="T678" s="11"/>
      <c r="U678" s="15"/>
      <c r="V678" s="11"/>
      <c r="W678" s="11"/>
      <c r="X678" s="11"/>
      <c r="Y678" s="11"/>
      <c r="Z678" s="11"/>
    </row>
    <row r="679">
      <c r="A679" s="18"/>
      <c r="B679" s="11"/>
      <c r="C679" s="11"/>
      <c r="D679" s="11"/>
      <c r="E679" s="11"/>
      <c r="F679" s="11"/>
      <c r="G679" s="11"/>
      <c r="H679" s="11"/>
      <c r="I679" s="11"/>
      <c r="J679" s="11"/>
      <c r="K679" s="11"/>
      <c r="L679" s="15"/>
      <c r="M679" s="15"/>
      <c r="N679" s="15"/>
      <c r="O679" s="15"/>
      <c r="P679" s="15"/>
      <c r="Q679" s="11"/>
      <c r="R679" s="11"/>
      <c r="S679" s="11"/>
      <c r="T679" s="11"/>
      <c r="U679" s="15"/>
      <c r="V679" s="11"/>
      <c r="W679" s="11"/>
      <c r="X679" s="11"/>
      <c r="Y679" s="11"/>
      <c r="Z679" s="11"/>
    </row>
    <row r="680">
      <c r="A680" s="18"/>
      <c r="B680" s="11"/>
      <c r="C680" s="11"/>
      <c r="D680" s="11"/>
      <c r="E680" s="11"/>
      <c r="F680" s="11"/>
      <c r="G680" s="11"/>
      <c r="H680" s="11"/>
      <c r="I680" s="11"/>
      <c r="J680" s="11"/>
      <c r="K680" s="11"/>
      <c r="L680" s="15"/>
      <c r="M680" s="15"/>
      <c r="N680" s="15"/>
      <c r="O680" s="15"/>
      <c r="P680" s="15"/>
      <c r="Q680" s="11"/>
      <c r="R680" s="11"/>
      <c r="S680" s="11"/>
      <c r="T680" s="11"/>
      <c r="U680" s="15"/>
      <c r="V680" s="11"/>
      <c r="W680" s="11"/>
      <c r="X680" s="11"/>
      <c r="Y680" s="11"/>
      <c r="Z680" s="11"/>
    </row>
    <row r="681">
      <c r="A681" s="18"/>
      <c r="B681" s="11"/>
      <c r="C681" s="11"/>
      <c r="D681" s="11"/>
      <c r="E681" s="11"/>
      <c r="F681" s="11"/>
      <c r="G681" s="11"/>
      <c r="H681" s="11"/>
      <c r="I681" s="11"/>
      <c r="J681" s="11"/>
      <c r="K681" s="11"/>
      <c r="L681" s="15"/>
      <c r="M681" s="15"/>
      <c r="N681" s="15"/>
      <c r="O681" s="15"/>
      <c r="P681" s="15"/>
      <c r="Q681" s="11"/>
      <c r="R681" s="11"/>
      <c r="S681" s="11"/>
      <c r="T681" s="11"/>
      <c r="U681" s="15"/>
      <c r="V681" s="11"/>
      <c r="W681" s="11"/>
      <c r="X681" s="11"/>
      <c r="Y681" s="11"/>
      <c r="Z681" s="11"/>
    </row>
    <row r="682">
      <c r="A682" s="18"/>
      <c r="B682" s="11"/>
      <c r="C682" s="11"/>
      <c r="D682" s="11"/>
      <c r="E682" s="11"/>
      <c r="F682" s="11"/>
      <c r="G682" s="11"/>
      <c r="H682" s="11"/>
      <c r="I682" s="11"/>
      <c r="J682" s="11"/>
      <c r="K682" s="11"/>
      <c r="L682" s="15"/>
      <c r="M682" s="15"/>
      <c r="N682" s="15"/>
      <c r="O682" s="15"/>
      <c r="P682" s="15"/>
      <c r="Q682" s="11"/>
      <c r="R682" s="11"/>
      <c r="S682" s="11"/>
      <c r="T682" s="11"/>
      <c r="U682" s="15"/>
      <c r="V682" s="11"/>
      <c r="W682" s="11"/>
      <c r="X682" s="11"/>
      <c r="Y682" s="11"/>
      <c r="Z682" s="11"/>
    </row>
    <row r="683">
      <c r="A683" s="18"/>
      <c r="B683" s="11"/>
      <c r="C683" s="11"/>
      <c r="D683" s="11"/>
      <c r="E683" s="11"/>
      <c r="F683" s="11"/>
      <c r="G683" s="11"/>
      <c r="H683" s="11"/>
      <c r="I683" s="11"/>
      <c r="J683" s="11"/>
      <c r="K683" s="11"/>
      <c r="L683" s="15"/>
      <c r="M683" s="15"/>
      <c r="N683" s="15"/>
      <c r="O683" s="15"/>
      <c r="P683" s="15"/>
      <c r="Q683" s="11"/>
      <c r="R683" s="11"/>
      <c r="S683" s="11"/>
      <c r="T683" s="11"/>
      <c r="U683" s="15"/>
      <c r="V683" s="11"/>
      <c r="W683" s="11"/>
      <c r="X683" s="11"/>
      <c r="Y683" s="11"/>
      <c r="Z683" s="11"/>
    </row>
    <row r="684">
      <c r="A684" s="18"/>
      <c r="B684" s="11"/>
      <c r="C684" s="11"/>
      <c r="D684" s="11"/>
      <c r="E684" s="11"/>
      <c r="F684" s="11"/>
      <c r="G684" s="11"/>
      <c r="H684" s="11"/>
      <c r="I684" s="11"/>
      <c r="J684" s="11"/>
      <c r="K684" s="11"/>
      <c r="L684" s="15"/>
      <c r="M684" s="15"/>
      <c r="N684" s="15"/>
      <c r="O684" s="15"/>
      <c r="P684" s="15"/>
      <c r="Q684" s="11"/>
      <c r="R684" s="11"/>
      <c r="S684" s="11"/>
      <c r="T684" s="11"/>
      <c r="U684" s="15"/>
      <c r="V684" s="11"/>
      <c r="W684" s="11"/>
      <c r="X684" s="11"/>
      <c r="Y684" s="11"/>
      <c r="Z684" s="11"/>
    </row>
    <row r="685">
      <c r="A685" s="18"/>
      <c r="B685" s="11"/>
      <c r="C685" s="11"/>
      <c r="D685" s="11"/>
      <c r="E685" s="11"/>
      <c r="F685" s="11"/>
      <c r="G685" s="11"/>
      <c r="H685" s="11"/>
      <c r="I685" s="11"/>
      <c r="J685" s="11"/>
      <c r="K685" s="11"/>
      <c r="L685" s="15"/>
      <c r="M685" s="15"/>
      <c r="N685" s="15"/>
      <c r="O685" s="15"/>
      <c r="P685" s="15"/>
      <c r="Q685" s="11"/>
      <c r="R685" s="11"/>
      <c r="S685" s="11"/>
      <c r="T685" s="11"/>
      <c r="U685" s="15"/>
      <c r="V685" s="11"/>
      <c r="W685" s="11"/>
      <c r="X685" s="11"/>
      <c r="Y685" s="11"/>
      <c r="Z685" s="11"/>
    </row>
    <row r="686">
      <c r="A686" s="18"/>
      <c r="B686" s="11"/>
      <c r="C686" s="11"/>
      <c r="D686" s="11"/>
      <c r="E686" s="11"/>
      <c r="F686" s="11"/>
      <c r="G686" s="11"/>
      <c r="H686" s="11"/>
      <c r="I686" s="11"/>
      <c r="J686" s="11"/>
      <c r="K686" s="11"/>
      <c r="L686" s="15"/>
      <c r="M686" s="15"/>
      <c r="N686" s="15"/>
      <c r="O686" s="15"/>
      <c r="P686" s="15"/>
      <c r="Q686" s="11"/>
      <c r="R686" s="11"/>
      <c r="S686" s="11"/>
      <c r="T686" s="11"/>
      <c r="U686" s="15"/>
      <c r="V686" s="11"/>
      <c r="W686" s="11"/>
      <c r="X686" s="11"/>
      <c r="Y686" s="11"/>
      <c r="Z686" s="11"/>
    </row>
    <row r="687">
      <c r="A687" s="18"/>
      <c r="B687" s="11"/>
      <c r="C687" s="11"/>
      <c r="D687" s="11"/>
      <c r="E687" s="11"/>
      <c r="F687" s="11"/>
      <c r="G687" s="11"/>
      <c r="H687" s="11"/>
      <c r="I687" s="11"/>
      <c r="J687" s="11"/>
      <c r="K687" s="11"/>
      <c r="L687" s="15"/>
      <c r="M687" s="15"/>
      <c r="N687" s="15"/>
      <c r="O687" s="15"/>
      <c r="P687" s="15"/>
      <c r="Q687" s="11"/>
      <c r="R687" s="11"/>
      <c r="S687" s="11"/>
      <c r="T687" s="11"/>
      <c r="U687" s="15"/>
      <c r="V687" s="11"/>
      <c r="W687" s="11"/>
      <c r="X687" s="11"/>
      <c r="Y687" s="11"/>
      <c r="Z687" s="11"/>
    </row>
    <row r="688">
      <c r="A688" s="18"/>
      <c r="B688" s="11"/>
      <c r="C688" s="11"/>
      <c r="D688" s="11"/>
      <c r="E688" s="11"/>
      <c r="F688" s="11"/>
      <c r="G688" s="11"/>
      <c r="H688" s="11"/>
      <c r="I688" s="11"/>
      <c r="J688" s="11"/>
      <c r="K688" s="11"/>
      <c r="L688" s="15"/>
      <c r="M688" s="15"/>
      <c r="N688" s="15"/>
      <c r="O688" s="15"/>
      <c r="P688" s="15"/>
      <c r="Q688" s="11"/>
      <c r="R688" s="11"/>
      <c r="S688" s="11"/>
      <c r="T688" s="11"/>
      <c r="U688" s="15"/>
      <c r="V688" s="11"/>
      <c r="W688" s="11"/>
      <c r="X688" s="11"/>
      <c r="Y688" s="11"/>
      <c r="Z688" s="11"/>
    </row>
    <row r="689">
      <c r="A689" s="18"/>
      <c r="B689" s="11"/>
      <c r="C689" s="11"/>
      <c r="D689" s="11"/>
      <c r="E689" s="11"/>
      <c r="F689" s="11"/>
      <c r="G689" s="11"/>
      <c r="H689" s="11"/>
      <c r="I689" s="11"/>
      <c r="J689" s="11"/>
      <c r="K689" s="11"/>
      <c r="L689" s="15"/>
      <c r="M689" s="15"/>
      <c r="N689" s="15"/>
      <c r="O689" s="15"/>
      <c r="P689" s="15"/>
      <c r="Q689" s="11"/>
      <c r="R689" s="11"/>
      <c r="S689" s="11"/>
      <c r="T689" s="11"/>
      <c r="U689" s="15"/>
      <c r="V689" s="11"/>
      <c r="W689" s="11"/>
      <c r="X689" s="11"/>
      <c r="Y689" s="11"/>
      <c r="Z689" s="11"/>
    </row>
    <row r="690">
      <c r="A690" s="18"/>
      <c r="B690" s="11"/>
      <c r="C690" s="11"/>
      <c r="D690" s="11"/>
      <c r="E690" s="11"/>
      <c r="F690" s="11"/>
      <c r="G690" s="11"/>
      <c r="H690" s="11"/>
      <c r="I690" s="11"/>
      <c r="J690" s="11"/>
      <c r="K690" s="11"/>
      <c r="L690" s="15"/>
      <c r="M690" s="15"/>
      <c r="N690" s="15"/>
      <c r="O690" s="15"/>
      <c r="P690" s="15"/>
      <c r="Q690" s="11"/>
      <c r="R690" s="11"/>
      <c r="S690" s="11"/>
      <c r="T690" s="11"/>
      <c r="U690" s="15"/>
      <c r="V690" s="11"/>
      <c r="W690" s="11"/>
      <c r="X690" s="11"/>
      <c r="Y690" s="11"/>
      <c r="Z690" s="11"/>
    </row>
    <row r="691">
      <c r="A691" s="18"/>
      <c r="B691" s="11"/>
      <c r="C691" s="11"/>
      <c r="D691" s="11"/>
      <c r="E691" s="11"/>
      <c r="F691" s="11"/>
      <c r="G691" s="11"/>
      <c r="H691" s="11"/>
      <c r="I691" s="11"/>
      <c r="J691" s="11"/>
      <c r="K691" s="11"/>
      <c r="L691" s="15"/>
      <c r="M691" s="15"/>
      <c r="N691" s="15"/>
      <c r="O691" s="15"/>
      <c r="P691" s="15"/>
      <c r="Q691" s="11"/>
      <c r="R691" s="11"/>
      <c r="S691" s="11"/>
      <c r="T691" s="11"/>
      <c r="U691" s="15"/>
      <c r="V691" s="11"/>
      <c r="W691" s="11"/>
      <c r="X691" s="11"/>
      <c r="Y691" s="11"/>
      <c r="Z691" s="11"/>
    </row>
    <row r="692">
      <c r="A692" s="18"/>
      <c r="B692" s="11"/>
      <c r="C692" s="11"/>
      <c r="D692" s="11"/>
      <c r="E692" s="11"/>
      <c r="F692" s="11"/>
      <c r="G692" s="11"/>
      <c r="H692" s="11"/>
      <c r="I692" s="11"/>
      <c r="J692" s="11"/>
      <c r="K692" s="11"/>
      <c r="L692" s="15"/>
      <c r="M692" s="15"/>
      <c r="N692" s="15"/>
      <c r="O692" s="15"/>
      <c r="P692" s="15"/>
      <c r="Q692" s="11"/>
      <c r="R692" s="11"/>
      <c r="S692" s="11"/>
      <c r="T692" s="11"/>
      <c r="U692" s="15"/>
      <c r="V692" s="11"/>
      <c r="W692" s="11"/>
      <c r="X692" s="11"/>
      <c r="Y692" s="11"/>
      <c r="Z692" s="11"/>
    </row>
    <row r="693">
      <c r="A693" s="18"/>
      <c r="B693" s="11"/>
      <c r="C693" s="11"/>
      <c r="D693" s="11"/>
      <c r="E693" s="11"/>
      <c r="F693" s="11"/>
      <c r="G693" s="11"/>
      <c r="H693" s="11"/>
      <c r="I693" s="11"/>
      <c r="J693" s="11"/>
      <c r="K693" s="11"/>
      <c r="L693" s="15"/>
      <c r="M693" s="15"/>
      <c r="N693" s="15"/>
      <c r="O693" s="15"/>
      <c r="P693" s="15"/>
      <c r="Q693" s="11"/>
      <c r="R693" s="11"/>
      <c r="S693" s="11"/>
      <c r="T693" s="11"/>
      <c r="U693" s="15"/>
      <c r="V693" s="11"/>
      <c r="W693" s="11"/>
      <c r="X693" s="11"/>
      <c r="Y693" s="11"/>
      <c r="Z693" s="11"/>
    </row>
    <row r="694">
      <c r="A694" s="18"/>
      <c r="B694" s="11"/>
      <c r="C694" s="11"/>
      <c r="D694" s="11"/>
      <c r="E694" s="11"/>
      <c r="F694" s="11"/>
      <c r="G694" s="11"/>
      <c r="H694" s="11"/>
      <c r="I694" s="11"/>
      <c r="J694" s="11"/>
      <c r="K694" s="11"/>
      <c r="L694" s="15"/>
      <c r="M694" s="15"/>
      <c r="N694" s="15"/>
      <c r="O694" s="15"/>
      <c r="P694" s="15"/>
      <c r="Q694" s="11"/>
      <c r="R694" s="11"/>
      <c r="S694" s="11"/>
      <c r="T694" s="11"/>
      <c r="U694" s="15"/>
      <c r="V694" s="11"/>
      <c r="W694" s="11"/>
      <c r="X694" s="11"/>
      <c r="Y694" s="11"/>
      <c r="Z694" s="11"/>
    </row>
    <row r="695">
      <c r="A695" s="18"/>
      <c r="B695" s="11"/>
      <c r="C695" s="11"/>
      <c r="D695" s="11"/>
      <c r="E695" s="11"/>
      <c r="F695" s="11"/>
      <c r="G695" s="11"/>
      <c r="H695" s="11"/>
      <c r="I695" s="11"/>
      <c r="J695" s="11"/>
      <c r="K695" s="11"/>
      <c r="L695" s="15"/>
      <c r="M695" s="15"/>
      <c r="N695" s="15"/>
      <c r="O695" s="15"/>
      <c r="P695" s="15"/>
      <c r="Q695" s="11"/>
      <c r="R695" s="11"/>
      <c r="S695" s="11"/>
      <c r="T695" s="11"/>
      <c r="U695" s="15"/>
      <c r="V695" s="11"/>
      <c r="W695" s="11"/>
      <c r="X695" s="11"/>
      <c r="Y695" s="11"/>
      <c r="Z695" s="11"/>
    </row>
    <row r="696">
      <c r="A696" s="18"/>
      <c r="B696" s="11"/>
      <c r="C696" s="11"/>
      <c r="D696" s="11"/>
      <c r="E696" s="11"/>
      <c r="F696" s="11"/>
      <c r="G696" s="11"/>
      <c r="H696" s="11"/>
      <c r="I696" s="11"/>
      <c r="J696" s="11"/>
      <c r="K696" s="11"/>
      <c r="L696" s="15"/>
      <c r="M696" s="15"/>
      <c r="N696" s="15"/>
      <c r="O696" s="15"/>
      <c r="P696" s="15"/>
      <c r="Q696" s="11"/>
      <c r="R696" s="11"/>
      <c r="S696" s="11"/>
      <c r="T696" s="11"/>
      <c r="U696" s="15"/>
      <c r="V696" s="11"/>
      <c r="W696" s="11"/>
      <c r="X696" s="11"/>
      <c r="Y696" s="11"/>
      <c r="Z696" s="11"/>
    </row>
    <row r="697">
      <c r="A697" s="18"/>
      <c r="B697" s="11"/>
      <c r="C697" s="11"/>
      <c r="D697" s="11"/>
      <c r="E697" s="11"/>
      <c r="F697" s="11"/>
      <c r="G697" s="11"/>
      <c r="H697" s="11"/>
      <c r="I697" s="11"/>
      <c r="J697" s="11"/>
      <c r="K697" s="11"/>
      <c r="L697" s="15"/>
      <c r="M697" s="15"/>
      <c r="N697" s="15"/>
      <c r="O697" s="15"/>
      <c r="P697" s="15"/>
      <c r="Q697" s="11"/>
      <c r="R697" s="11"/>
      <c r="S697" s="11"/>
      <c r="T697" s="11"/>
      <c r="U697" s="15"/>
      <c r="V697" s="11"/>
      <c r="W697" s="11"/>
      <c r="X697" s="11"/>
      <c r="Y697" s="11"/>
      <c r="Z697" s="11"/>
    </row>
    <row r="698">
      <c r="A698" s="18"/>
      <c r="B698" s="11"/>
      <c r="C698" s="11"/>
      <c r="D698" s="11"/>
      <c r="E698" s="11"/>
      <c r="F698" s="11"/>
      <c r="G698" s="11"/>
      <c r="H698" s="11"/>
      <c r="I698" s="11"/>
      <c r="J698" s="11"/>
      <c r="K698" s="11"/>
      <c r="L698" s="15"/>
      <c r="M698" s="15"/>
      <c r="N698" s="15"/>
      <c r="O698" s="15"/>
      <c r="P698" s="15"/>
      <c r="Q698" s="11"/>
      <c r="R698" s="11"/>
      <c r="S698" s="11"/>
      <c r="T698" s="11"/>
      <c r="U698" s="15"/>
      <c r="V698" s="11"/>
      <c r="W698" s="11"/>
      <c r="X698" s="11"/>
      <c r="Y698" s="11"/>
      <c r="Z698" s="11"/>
    </row>
    <row r="699">
      <c r="A699" s="18"/>
      <c r="B699" s="11"/>
      <c r="C699" s="11"/>
      <c r="D699" s="11"/>
      <c r="E699" s="11"/>
      <c r="F699" s="11"/>
      <c r="G699" s="11"/>
      <c r="H699" s="11"/>
      <c r="I699" s="11"/>
      <c r="J699" s="11"/>
      <c r="K699" s="11"/>
      <c r="L699" s="15"/>
      <c r="M699" s="15"/>
      <c r="N699" s="15"/>
      <c r="O699" s="15"/>
      <c r="P699" s="15"/>
      <c r="Q699" s="11"/>
      <c r="R699" s="11"/>
      <c r="S699" s="11"/>
      <c r="T699" s="11"/>
      <c r="U699" s="15"/>
      <c r="V699" s="11"/>
      <c r="W699" s="11"/>
      <c r="X699" s="11"/>
      <c r="Y699" s="11"/>
      <c r="Z699" s="11"/>
    </row>
    <row r="700">
      <c r="A700" s="18"/>
      <c r="B700" s="11"/>
      <c r="C700" s="11"/>
      <c r="D700" s="11"/>
      <c r="E700" s="11"/>
      <c r="F700" s="11"/>
      <c r="G700" s="11"/>
      <c r="H700" s="11"/>
      <c r="I700" s="11"/>
      <c r="J700" s="11"/>
      <c r="K700" s="11"/>
      <c r="L700" s="15"/>
      <c r="M700" s="15"/>
      <c r="N700" s="15"/>
      <c r="O700" s="15"/>
      <c r="P700" s="15"/>
      <c r="Q700" s="11"/>
      <c r="R700" s="11"/>
      <c r="S700" s="11"/>
      <c r="T700" s="11"/>
      <c r="U700" s="15"/>
      <c r="V700" s="11"/>
      <c r="W700" s="11"/>
      <c r="X700" s="11"/>
      <c r="Y700" s="11"/>
      <c r="Z700" s="11"/>
    </row>
    <row r="701">
      <c r="A701" s="18"/>
      <c r="B701" s="11"/>
      <c r="C701" s="11"/>
      <c r="D701" s="11"/>
      <c r="E701" s="11"/>
      <c r="F701" s="11"/>
      <c r="G701" s="11"/>
      <c r="H701" s="11"/>
      <c r="I701" s="11"/>
      <c r="J701" s="11"/>
      <c r="K701" s="11"/>
      <c r="L701" s="15"/>
      <c r="M701" s="15"/>
      <c r="N701" s="15"/>
      <c r="O701" s="15"/>
      <c r="P701" s="15"/>
      <c r="Q701" s="11"/>
      <c r="R701" s="11"/>
      <c r="S701" s="11"/>
      <c r="T701" s="11"/>
      <c r="U701" s="15"/>
      <c r="V701" s="11"/>
      <c r="W701" s="11"/>
      <c r="X701" s="11"/>
      <c r="Y701" s="11"/>
      <c r="Z701" s="11"/>
    </row>
    <row r="702">
      <c r="A702" s="18"/>
      <c r="B702" s="11"/>
      <c r="C702" s="11"/>
      <c r="D702" s="11"/>
      <c r="E702" s="11"/>
      <c r="F702" s="11"/>
      <c r="G702" s="11"/>
      <c r="H702" s="11"/>
      <c r="I702" s="11"/>
      <c r="J702" s="11"/>
      <c r="K702" s="11"/>
      <c r="L702" s="15"/>
      <c r="M702" s="15"/>
      <c r="N702" s="15"/>
      <c r="O702" s="15"/>
      <c r="P702" s="15"/>
      <c r="Q702" s="11"/>
      <c r="R702" s="11"/>
      <c r="S702" s="11"/>
      <c r="T702" s="11"/>
      <c r="U702" s="15"/>
      <c r="V702" s="11"/>
      <c r="W702" s="11"/>
      <c r="X702" s="11"/>
      <c r="Y702" s="11"/>
      <c r="Z702" s="11"/>
    </row>
    <row r="703">
      <c r="A703" s="18"/>
      <c r="B703" s="11"/>
      <c r="C703" s="11"/>
      <c r="D703" s="11"/>
      <c r="E703" s="11"/>
      <c r="F703" s="11"/>
      <c r="G703" s="11"/>
      <c r="H703" s="11"/>
      <c r="I703" s="11"/>
      <c r="J703" s="11"/>
      <c r="K703" s="11"/>
      <c r="L703" s="15"/>
      <c r="M703" s="15"/>
      <c r="N703" s="15"/>
      <c r="O703" s="15"/>
      <c r="P703" s="15"/>
      <c r="Q703" s="11"/>
      <c r="R703" s="11"/>
      <c r="S703" s="11"/>
      <c r="T703" s="11"/>
      <c r="U703" s="15"/>
      <c r="V703" s="11"/>
      <c r="W703" s="11"/>
      <c r="X703" s="11"/>
      <c r="Y703" s="11"/>
      <c r="Z703" s="11"/>
    </row>
    <row r="704">
      <c r="A704" s="18"/>
      <c r="B704" s="11"/>
      <c r="C704" s="11"/>
      <c r="D704" s="11"/>
      <c r="E704" s="11"/>
      <c r="F704" s="11"/>
      <c r="G704" s="11"/>
      <c r="H704" s="11"/>
      <c r="I704" s="11"/>
      <c r="J704" s="11"/>
      <c r="K704" s="11"/>
      <c r="L704" s="15"/>
      <c r="M704" s="15"/>
      <c r="N704" s="15"/>
      <c r="O704" s="15"/>
      <c r="P704" s="15"/>
      <c r="Q704" s="11"/>
      <c r="R704" s="11"/>
      <c r="S704" s="11"/>
      <c r="T704" s="11"/>
      <c r="U704" s="15"/>
      <c r="V704" s="11"/>
      <c r="W704" s="11"/>
      <c r="X704" s="11"/>
      <c r="Y704" s="11"/>
      <c r="Z704" s="11"/>
    </row>
    <row r="705">
      <c r="A705" s="18"/>
      <c r="B705" s="11"/>
      <c r="C705" s="11"/>
      <c r="D705" s="11"/>
      <c r="E705" s="11"/>
      <c r="F705" s="11"/>
      <c r="G705" s="11"/>
      <c r="H705" s="11"/>
      <c r="I705" s="11"/>
      <c r="J705" s="11"/>
      <c r="K705" s="11"/>
      <c r="L705" s="15"/>
      <c r="M705" s="15"/>
      <c r="N705" s="15"/>
      <c r="O705" s="15"/>
      <c r="P705" s="15"/>
      <c r="Q705" s="11"/>
      <c r="R705" s="11"/>
      <c r="S705" s="11"/>
      <c r="T705" s="11"/>
      <c r="U705" s="15"/>
      <c r="V705" s="11"/>
      <c r="W705" s="11"/>
      <c r="X705" s="11"/>
      <c r="Y705" s="11"/>
      <c r="Z705" s="11"/>
    </row>
    <row r="706">
      <c r="A706" s="18"/>
      <c r="B706" s="11"/>
      <c r="C706" s="11"/>
      <c r="D706" s="11"/>
      <c r="E706" s="11"/>
      <c r="F706" s="11"/>
      <c r="G706" s="11"/>
      <c r="H706" s="11"/>
      <c r="I706" s="11"/>
      <c r="J706" s="11"/>
      <c r="K706" s="11"/>
      <c r="L706" s="15"/>
      <c r="M706" s="15"/>
      <c r="N706" s="15"/>
      <c r="O706" s="15"/>
      <c r="P706" s="15"/>
      <c r="Q706" s="11"/>
      <c r="R706" s="11"/>
      <c r="S706" s="11"/>
      <c r="T706" s="11"/>
      <c r="U706" s="15"/>
      <c r="V706" s="11"/>
      <c r="W706" s="11"/>
      <c r="X706" s="11"/>
      <c r="Y706" s="11"/>
      <c r="Z706" s="11"/>
    </row>
    <row r="707">
      <c r="A707" s="18"/>
      <c r="B707" s="11"/>
      <c r="C707" s="11"/>
      <c r="D707" s="11"/>
      <c r="E707" s="11"/>
      <c r="F707" s="11"/>
      <c r="G707" s="11"/>
      <c r="H707" s="11"/>
      <c r="I707" s="11"/>
      <c r="J707" s="11"/>
      <c r="K707" s="11"/>
      <c r="L707" s="15"/>
      <c r="M707" s="15"/>
      <c r="N707" s="15"/>
      <c r="O707" s="15"/>
      <c r="P707" s="15"/>
      <c r="Q707" s="11"/>
      <c r="R707" s="11"/>
      <c r="S707" s="11"/>
      <c r="T707" s="11"/>
      <c r="U707" s="15"/>
      <c r="V707" s="11"/>
      <c r="W707" s="11"/>
      <c r="X707" s="11"/>
      <c r="Y707" s="11"/>
      <c r="Z707" s="11"/>
    </row>
    <row r="708">
      <c r="A708" s="18"/>
      <c r="B708" s="11"/>
      <c r="C708" s="11"/>
      <c r="D708" s="11"/>
      <c r="E708" s="11"/>
      <c r="F708" s="11"/>
      <c r="G708" s="11"/>
      <c r="H708" s="11"/>
      <c r="I708" s="11"/>
      <c r="J708" s="11"/>
      <c r="K708" s="11"/>
      <c r="L708" s="15"/>
      <c r="M708" s="15"/>
      <c r="N708" s="15"/>
      <c r="O708" s="15"/>
      <c r="P708" s="15"/>
      <c r="Q708" s="11"/>
      <c r="R708" s="11"/>
      <c r="S708" s="11"/>
      <c r="T708" s="11"/>
      <c r="U708" s="15"/>
      <c r="V708" s="11"/>
      <c r="W708" s="11"/>
      <c r="X708" s="11"/>
      <c r="Y708" s="11"/>
      <c r="Z708" s="11"/>
    </row>
    <row r="709">
      <c r="A709" s="18"/>
      <c r="B709" s="11"/>
      <c r="C709" s="11"/>
      <c r="D709" s="11"/>
      <c r="E709" s="11"/>
      <c r="F709" s="11"/>
      <c r="G709" s="11"/>
      <c r="H709" s="11"/>
      <c r="I709" s="11"/>
      <c r="J709" s="11"/>
      <c r="K709" s="11"/>
      <c r="L709" s="15"/>
      <c r="M709" s="15"/>
      <c r="N709" s="15"/>
      <c r="O709" s="15"/>
      <c r="P709" s="15"/>
      <c r="Q709" s="11"/>
      <c r="R709" s="11"/>
      <c r="S709" s="11"/>
      <c r="T709" s="11"/>
      <c r="U709" s="15"/>
      <c r="V709" s="11"/>
      <c r="W709" s="11"/>
      <c r="X709" s="11"/>
      <c r="Y709" s="11"/>
      <c r="Z709" s="11"/>
    </row>
    <row r="710">
      <c r="A710" s="18"/>
      <c r="B710" s="11"/>
      <c r="C710" s="11"/>
      <c r="D710" s="11"/>
      <c r="E710" s="11"/>
      <c r="F710" s="11"/>
      <c r="G710" s="11"/>
      <c r="H710" s="11"/>
      <c r="I710" s="11"/>
      <c r="J710" s="11"/>
      <c r="K710" s="11"/>
      <c r="L710" s="15"/>
      <c r="M710" s="15"/>
      <c r="N710" s="15"/>
      <c r="O710" s="15"/>
      <c r="P710" s="15"/>
      <c r="Q710" s="11"/>
      <c r="R710" s="11"/>
      <c r="S710" s="11"/>
      <c r="T710" s="11"/>
      <c r="U710" s="15"/>
      <c r="V710" s="11"/>
      <c r="W710" s="11"/>
      <c r="X710" s="11"/>
      <c r="Y710" s="11"/>
      <c r="Z710" s="11"/>
    </row>
    <row r="711">
      <c r="A711" s="18"/>
      <c r="B711" s="11"/>
      <c r="C711" s="11"/>
      <c r="D711" s="11"/>
      <c r="E711" s="11"/>
      <c r="F711" s="11"/>
      <c r="G711" s="11"/>
      <c r="H711" s="11"/>
      <c r="I711" s="11"/>
      <c r="J711" s="11"/>
      <c r="K711" s="11"/>
      <c r="L711" s="15"/>
      <c r="M711" s="15"/>
      <c r="N711" s="15"/>
      <c r="O711" s="15"/>
      <c r="P711" s="15"/>
      <c r="Q711" s="11"/>
      <c r="R711" s="11"/>
      <c r="S711" s="11"/>
      <c r="T711" s="11"/>
      <c r="U711" s="15"/>
      <c r="V711" s="11"/>
      <c r="W711" s="11"/>
      <c r="X711" s="11"/>
      <c r="Y711" s="11"/>
      <c r="Z711" s="11"/>
    </row>
    <row r="712">
      <c r="A712" s="18"/>
      <c r="B712" s="11"/>
      <c r="C712" s="11"/>
      <c r="D712" s="11"/>
      <c r="E712" s="11"/>
      <c r="F712" s="11"/>
      <c r="G712" s="11"/>
      <c r="H712" s="11"/>
      <c r="I712" s="11"/>
      <c r="J712" s="11"/>
      <c r="K712" s="11"/>
      <c r="L712" s="15"/>
      <c r="M712" s="15"/>
      <c r="N712" s="15"/>
      <c r="O712" s="15"/>
      <c r="P712" s="15"/>
      <c r="Q712" s="11"/>
      <c r="R712" s="11"/>
      <c r="S712" s="11"/>
      <c r="T712" s="11"/>
      <c r="U712" s="15"/>
      <c r="V712" s="11"/>
      <c r="W712" s="11"/>
      <c r="X712" s="11"/>
      <c r="Y712" s="11"/>
      <c r="Z712" s="11"/>
    </row>
    <row r="713">
      <c r="A713" s="18"/>
      <c r="B713" s="11"/>
      <c r="C713" s="11"/>
      <c r="D713" s="11"/>
      <c r="E713" s="11"/>
      <c r="F713" s="11"/>
      <c r="G713" s="11"/>
      <c r="H713" s="11"/>
      <c r="I713" s="11"/>
      <c r="J713" s="11"/>
      <c r="K713" s="11"/>
      <c r="L713" s="15"/>
      <c r="M713" s="15"/>
      <c r="N713" s="15"/>
      <c r="O713" s="15"/>
      <c r="P713" s="15"/>
      <c r="Q713" s="11"/>
      <c r="R713" s="11"/>
      <c r="S713" s="11"/>
      <c r="T713" s="11"/>
      <c r="U713" s="15"/>
      <c r="V713" s="11"/>
      <c r="W713" s="11"/>
      <c r="X713" s="11"/>
      <c r="Y713" s="11"/>
      <c r="Z713" s="11"/>
    </row>
    <row r="714">
      <c r="A714" s="18"/>
      <c r="B714" s="11"/>
      <c r="C714" s="11"/>
      <c r="D714" s="11"/>
      <c r="E714" s="11"/>
      <c r="F714" s="11"/>
      <c r="G714" s="11"/>
      <c r="H714" s="11"/>
      <c r="I714" s="11"/>
      <c r="J714" s="11"/>
      <c r="K714" s="11"/>
      <c r="L714" s="15"/>
      <c r="M714" s="15"/>
      <c r="N714" s="15"/>
      <c r="O714" s="15"/>
      <c r="P714" s="15"/>
      <c r="Q714" s="11"/>
      <c r="R714" s="11"/>
      <c r="S714" s="11"/>
      <c r="T714" s="11"/>
      <c r="U714" s="15"/>
      <c r="V714" s="11"/>
      <c r="W714" s="11"/>
      <c r="X714" s="11"/>
      <c r="Y714" s="11"/>
      <c r="Z714" s="11"/>
    </row>
    <row r="715">
      <c r="A715" s="18"/>
      <c r="B715" s="11"/>
      <c r="C715" s="11"/>
      <c r="D715" s="11"/>
      <c r="E715" s="11"/>
      <c r="F715" s="11"/>
      <c r="G715" s="11"/>
      <c r="H715" s="11"/>
      <c r="I715" s="11"/>
      <c r="J715" s="11"/>
      <c r="K715" s="11"/>
      <c r="L715" s="15"/>
      <c r="M715" s="15"/>
      <c r="N715" s="15"/>
      <c r="O715" s="15"/>
      <c r="P715" s="15"/>
      <c r="Q715" s="11"/>
      <c r="R715" s="11"/>
      <c r="S715" s="11"/>
      <c r="T715" s="11"/>
      <c r="U715" s="15"/>
      <c r="V715" s="11"/>
      <c r="W715" s="11"/>
      <c r="X715" s="11"/>
      <c r="Y715" s="11"/>
      <c r="Z715" s="11"/>
    </row>
    <row r="716">
      <c r="A716" s="18"/>
      <c r="B716" s="11"/>
      <c r="C716" s="11"/>
      <c r="D716" s="11"/>
      <c r="E716" s="11"/>
      <c r="F716" s="11"/>
      <c r="G716" s="11"/>
      <c r="H716" s="11"/>
      <c r="I716" s="11"/>
      <c r="J716" s="11"/>
      <c r="K716" s="11"/>
      <c r="L716" s="15"/>
      <c r="M716" s="15"/>
      <c r="N716" s="15"/>
      <c r="O716" s="15"/>
      <c r="P716" s="15"/>
      <c r="Q716" s="11"/>
      <c r="R716" s="11"/>
      <c r="S716" s="11"/>
      <c r="T716" s="11"/>
      <c r="U716" s="15"/>
      <c r="V716" s="11"/>
      <c r="W716" s="11"/>
      <c r="X716" s="11"/>
      <c r="Y716" s="11"/>
      <c r="Z716" s="11"/>
    </row>
    <row r="717">
      <c r="A717" s="18"/>
      <c r="B717" s="11"/>
      <c r="C717" s="11"/>
      <c r="D717" s="11"/>
      <c r="E717" s="11"/>
      <c r="F717" s="11"/>
      <c r="G717" s="11"/>
      <c r="H717" s="11"/>
      <c r="I717" s="11"/>
      <c r="J717" s="11"/>
      <c r="K717" s="11"/>
      <c r="L717" s="15"/>
      <c r="M717" s="15"/>
      <c r="N717" s="15"/>
      <c r="O717" s="15"/>
      <c r="P717" s="15"/>
      <c r="Q717" s="11"/>
      <c r="R717" s="11"/>
      <c r="S717" s="11"/>
      <c r="T717" s="11"/>
      <c r="U717" s="15"/>
      <c r="V717" s="11"/>
      <c r="W717" s="11"/>
      <c r="X717" s="11"/>
      <c r="Y717" s="11"/>
      <c r="Z717" s="11"/>
    </row>
    <row r="718">
      <c r="A718" s="18"/>
      <c r="B718" s="11"/>
      <c r="C718" s="11"/>
      <c r="D718" s="11"/>
      <c r="E718" s="11"/>
      <c r="F718" s="11"/>
      <c r="G718" s="11"/>
      <c r="H718" s="11"/>
      <c r="I718" s="11"/>
      <c r="J718" s="11"/>
      <c r="K718" s="11"/>
      <c r="L718" s="15"/>
      <c r="M718" s="15"/>
      <c r="N718" s="15"/>
      <c r="O718" s="15"/>
      <c r="P718" s="15"/>
      <c r="Q718" s="11"/>
      <c r="R718" s="11"/>
      <c r="S718" s="11"/>
      <c r="T718" s="11"/>
      <c r="U718" s="15"/>
      <c r="V718" s="11"/>
      <c r="W718" s="11"/>
      <c r="X718" s="11"/>
      <c r="Y718" s="11"/>
      <c r="Z718" s="11"/>
    </row>
    <row r="719">
      <c r="A719" s="18"/>
      <c r="B719" s="11"/>
      <c r="C719" s="11"/>
      <c r="D719" s="11"/>
      <c r="E719" s="11"/>
      <c r="F719" s="11"/>
      <c r="G719" s="11"/>
      <c r="H719" s="11"/>
      <c r="I719" s="11"/>
      <c r="J719" s="11"/>
      <c r="K719" s="11"/>
      <c r="L719" s="15"/>
      <c r="M719" s="15"/>
      <c r="N719" s="15"/>
      <c r="O719" s="15"/>
      <c r="P719" s="15"/>
      <c r="Q719" s="11"/>
      <c r="R719" s="11"/>
      <c r="S719" s="11"/>
      <c r="T719" s="11"/>
      <c r="U719" s="15"/>
      <c r="V719" s="11"/>
      <c r="W719" s="11"/>
      <c r="X719" s="11"/>
      <c r="Y719" s="11"/>
      <c r="Z719" s="11"/>
    </row>
    <row r="720">
      <c r="A720" s="18"/>
      <c r="B720" s="11"/>
      <c r="C720" s="11"/>
      <c r="D720" s="11"/>
      <c r="E720" s="11"/>
      <c r="F720" s="11"/>
      <c r="G720" s="11"/>
      <c r="H720" s="11"/>
      <c r="I720" s="11"/>
      <c r="J720" s="11"/>
      <c r="K720" s="11"/>
      <c r="L720" s="15"/>
      <c r="M720" s="15"/>
      <c r="N720" s="15"/>
      <c r="O720" s="15"/>
      <c r="P720" s="15"/>
      <c r="Q720" s="11"/>
      <c r="R720" s="11"/>
      <c r="S720" s="11"/>
      <c r="T720" s="11"/>
      <c r="U720" s="15"/>
      <c r="V720" s="11"/>
      <c r="W720" s="11"/>
      <c r="X720" s="11"/>
      <c r="Y720" s="11"/>
      <c r="Z720" s="11"/>
    </row>
    <row r="721">
      <c r="A721" s="18"/>
      <c r="B721" s="11"/>
      <c r="C721" s="11"/>
      <c r="D721" s="11"/>
      <c r="E721" s="11"/>
      <c r="F721" s="11"/>
      <c r="G721" s="11"/>
      <c r="H721" s="11"/>
      <c r="I721" s="11"/>
      <c r="J721" s="11"/>
      <c r="K721" s="11"/>
      <c r="L721" s="15"/>
      <c r="M721" s="15"/>
      <c r="N721" s="15"/>
      <c r="O721" s="15"/>
      <c r="P721" s="15"/>
      <c r="Q721" s="11"/>
      <c r="R721" s="11"/>
      <c r="S721" s="11"/>
      <c r="T721" s="11"/>
      <c r="U721" s="15"/>
      <c r="V721" s="11"/>
      <c r="W721" s="11"/>
      <c r="X721" s="11"/>
      <c r="Y721" s="11"/>
      <c r="Z721" s="11"/>
    </row>
    <row r="722">
      <c r="A722" s="18"/>
      <c r="B722" s="11"/>
      <c r="C722" s="11"/>
      <c r="D722" s="11"/>
      <c r="E722" s="11"/>
      <c r="F722" s="11"/>
      <c r="G722" s="11"/>
      <c r="H722" s="11"/>
      <c r="I722" s="11"/>
      <c r="J722" s="11"/>
      <c r="K722" s="11"/>
      <c r="L722" s="15"/>
      <c r="M722" s="15"/>
      <c r="N722" s="15"/>
      <c r="O722" s="15"/>
      <c r="P722" s="15"/>
      <c r="Q722" s="11"/>
      <c r="R722" s="11"/>
      <c r="S722" s="11"/>
      <c r="T722" s="11"/>
      <c r="U722" s="15"/>
      <c r="V722" s="11"/>
      <c r="W722" s="11"/>
      <c r="X722" s="11"/>
      <c r="Y722" s="11"/>
      <c r="Z722" s="11"/>
    </row>
    <row r="723">
      <c r="A723" s="18"/>
      <c r="B723" s="11"/>
      <c r="C723" s="11"/>
      <c r="D723" s="11"/>
      <c r="E723" s="11"/>
      <c r="F723" s="11"/>
      <c r="G723" s="11"/>
      <c r="H723" s="11"/>
      <c r="I723" s="11"/>
      <c r="J723" s="11"/>
      <c r="K723" s="11"/>
      <c r="L723" s="15"/>
      <c r="M723" s="15"/>
      <c r="N723" s="15"/>
      <c r="O723" s="15"/>
      <c r="P723" s="15"/>
      <c r="Q723" s="11"/>
      <c r="R723" s="11"/>
      <c r="S723" s="11"/>
      <c r="T723" s="11"/>
      <c r="U723" s="15"/>
      <c r="V723" s="11"/>
      <c r="W723" s="11"/>
      <c r="X723" s="11"/>
      <c r="Y723" s="11"/>
      <c r="Z723" s="11"/>
    </row>
    <row r="724">
      <c r="A724" s="18"/>
      <c r="B724" s="11"/>
      <c r="C724" s="11"/>
      <c r="D724" s="11"/>
      <c r="E724" s="11"/>
      <c r="F724" s="11"/>
      <c r="G724" s="11"/>
      <c r="H724" s="11"/>
      <c r="I724" s="11"/>
      <c r="J724" s="11"/>
      <c r="K724" s="11"/>
      <c r="L724" s="15"/>
      <c r="M724" s="15"/>
      <c r="N724" s="15"/>
      <c r="O724" s="15"/>
      <c r="P724" s="15"/>
      <c r="Q724" s="11"/>
      <c r="R724" s="11"/>
      <c r="S724" s="11"/>
      <c r="T724" s="11"/>
      <c r="U724" s="15"/>
      <c r="V724" s="11"/>
      <c r="W724" s="11"/>
      <c r="X724" s="11"/>
      <c r="Y724" s="11"/>
      <c r="Z724" s="11"/>
    </row>
    <row r="725">
      <c r="A725" s="18"/>
      <c r="B725" s="11"/>
      <c r="C725" s="11"/>
      <c r="D725" s="11"/>
      <c r="E725" s="11"/>
      <c r="F725" s="11"/>
      <c r="G725" s="11"/>
      <c r="H725" s="11"/>
      <c r="I725" s="11"/>
      <c r="J725" s="11"/>
      <c r="K725" s="11"/>
      <c r="L725" s="15"/>
      <c r="M725" s="15"/>
      <c r="N725" s="15"/>
      <c r="O725" s="15"/>
      <c r="P725" s="15"/>
      <c r="Q725" s="11"/>
      <c r="R725" s="11"/>
      <c r="S725" s="11"/>
      <c r="T725" s="11"/>
      <c r="U725" s="15"/>
      <c r="V725" s="11"/>
      <c r="W725" s="11"/>
      <c r="X725" s="11"/>
      <c r="Y725" s="11"/>
      <c r="Z725" s="11"/>
    </row>
    <row r="726">
      <c r="A726" s="18"/>
      <c r="B726" s="11"/>
      <c r="C726" s="11"/>
      <c r="D726" s="11"/>
      <c r="E726" s="11"/>
      <c r="F726" s="11"/>
      <c r="G726" s="11"/>
      <c r="H726" s="11"/>
      <c r="I726" s="11"/>
      <c r="J726" s="11"/>
      <c r="K726" s="11"/>
      <c r="L726" s="15"/>
      <c r="M726" s="15"/>
      <c r="N726" s="15"/>
      <c r="O726" s="15"/>
      <c r="P726" s="15"/>
      <c r="Q726" s="11"/>
      <c r="R726" s="11"/>
      <c r="S726" s="11"/>
      <c r="T726" s="11"/>
      <c r="U726" s="15"/>
      <c r="V726" s="11"/>
      <c r="W726" s="11"/>
      <c r="X726" s="11"/>
      <c r="Y726" s="11"/>
      <c r="Z726" s="11"/>
    </row>
    <row r="727">
      <c r="A727" s="18"/>
      <c r="B727" s="11"/>
      <c r="C727" s="11"/>
      <c r="D727" s="11"/>
      <c r="E727" s="11"/>
      <c r="F727" s="11"/>
      <c r="G727" s="11"/>
      <c r="H727" s="11"/>
      <c r="I727" s="11"/>
      <c r="J727" s="11"/>
      <c r="K727" s="11"/>
      <c r="L727" s="15"/>
      <c r="M727" s="15"/>
      <c r="N727" s="15"/>
      <c r="O727" s="15"/>
      <c r="P727" s="15"/>
      <c r="Q727" s="11"/>
      <c r="R727" s="11"/>
      <c r="S727" s="11"/>
      <c r="T727" s="11"/>
      <c r="U727" s="15"/>
      <c r="V727" s="11"/>
      <c r="W727" s="11"/>
      <c r="X727" s="11"/>
      <c r="Y727" s="11"/>
      <c r="Z727" s="11"/>
    </row>
    <row r="728">
      <c r="A728" s="18"/>
      <c r="B728" s="11"/>
      <c r="C728" s="11"/>
      <c r="D728" s="11"/>
      <c r="E728" s="11"/>
      <c r="F728" s="11"/>
      <c r="G728" s="11"/>
      <c r="H728" s="11"/>
      <c r="I728" s="11"/>
      <c r="J728" s="11"/>
      <c r="K728" s="11"/>
      <c r="L728" s="15"/>
      <c r="M728" s="15"/>
      <c r="N728" s="15"/>
      <c r="O728" s="15"/>
      <c r="P728" s="15"/>
      <c r="Q728" s="11"/>
      <c r="R728" s="11"/>
      <c r="S728" s="11"/>
      <c r="T728" s="11"/>
      <c r="U728" s="15"/>
      <c r="V728" s="11"/>
      <c r="W728" s="11"/>
      <c r="X728" s="11"/>
      <c r="Y728" s="11"/>
      <c r="Z728" s="11"/>
    </row>
    <row r="729">
      <c r="A729" s="18"/>
      <c r="B729" s="11"/>
      <c r="C729" s="11"/>
      <c r="D729" s="11"/>
      <c r="E729" s="11"/>
      <c r="F729" s="11"/>
      <c r="G729" s="11"/>
      <c r="H729" s="11"/>
      <c r="I729" s="11"/>
      <c r="J729" s="11"/>
      <c r="K729" s="11"/>
      <c r="L729" s="15"/>
      <c r="M729" s="15"/>
      <c r="N729" s="15"/>
      <c r="O729" s="15"/>
      <c r="P729" s="15"/>
      <c r="Q729" s="11"/>
      <c r="R729" s="11"/>
      <c r="S729" s="11"/>
      <c r="T729" s="11"/>
      <c r="U729" s="15"/>
      <c r="V729" s="11"/>
      <c r="W729" s="11"/>
      <c r="X729" s="11"/>
      <c r="Y729" s="11"/>
      <c r="Z729" s="11"/>
    </row>
    <row r="730">
      <c r="A730" s="18"/>
      <c r="B730" s="11"/>
      <c r="C730" s="11"/>
      <c r="D730" s="11"/>
      <c r="E730" s="11"/>
      <c r="F730" s="11"/>
      <c r="G730" s="11"/>
      <c r="H730" s="11"/>
      <c r="I730" s="11"/>
      <c r="J730" s="11"/>
      <c r="K730" s="11"/>
      <c r="L730" s="15"/>
      <c r="M730" s="15"/>
      <c r="N730" s="15"/>
      <c r="O730" s="15"/>
      <c r="P730" s="15"/>
      <c r="Q730" s="11"/>
      <c r="R730" s="11"/>
      <c r="S730" s="11"/>
      <c r="T730" s="11"/>
      <c r="U730" s="15"/>
      <c r="V730" s="11"/>
      <c r="W730" s="11"/>
      <c r="X730" s="11"/>
      <c r="Y730" s="11"/>
      <c r="Z730" s="11"/>
    </row>
    <row r="731">
      <c r="A731" s="18"/>
      <c r="B731" s="11"/>
      <c r="C731" s="11"/>
      <c r="D731" s="11"/>
      <c r="E731" s="11"/>
      <c r="F731" s="11"/>
      <c r="G731" s="11"/>
      <c r="H731" s="11"/>
      <c r="I731" s="11"/>
      <c r="J731" s="11"/>
      <c r="K731" s="11"/>
      <c r="L731" s="15"/>
      <c r="M731" s="15"/>
      <c r="N731" s="15"/>
      <c r="O731" s="15"/>
      <c r="P731" s="15"/>
      <c r="Q731" s="11"/>
      <c r="R731" s="11"/>
      <c r="S731" s="11"/>
      <c r="T731" s="11"/>
      <c r="U731" s="15"/>
      <c r="V731" s="11"/>
      <c r="W731" s="11"/>
      <c r="X731" s="11"/>
      <c r="Y731" s="11"/>
      <c r="Z731" s="11"/>
    </row>
    <row r="732">
      <c r="A732" s="18"/>
      <c r="B732" s="11"/>
      <c r="C732" s="11"/>
      <c r="D732" s="11"/>
      <c r="E732" s="11"/>
      <c r="F732" s="11"/>
      <c r="G732" s="11"/>
      <c r="H732" s="11"/>
      <c r="I732" s="11"/>
      <c r="J732" s="11"/>
      <c r="K732" s="11"/>
      <c r="L732" s="15"/>
      <c r="M732" s="15"/>
      <c r="N732" s="15"/>
      <c r="O732" s="15"/>
      <c r="P732" s="15"/>
      <c r="Q732" s="11"/>
      <c r="R732" s="11"/>
      <c r="S732" s="11"/>
      <c r="T732" s="11"/>
      <c r="U732" s="15"/>
      <c r="V732" s="11"/>
      <c r="W732" s="11"/>
      <c r="X732" s="11"/>
      <c r="Y732" s="11"/>
      <c r="Z732" s="11"/>
    </row>
    <row r="733">
      <c r="A733" s="18"/>
      <c r="B733" s="11"/>
      <c r="C733" s="11"/>
      <c r="D733" s="11"/>
      <c r="E733" s="11"/>
      <c r="F733" s="11"/>
      <c r="G733" s="11"/>
      <c r="H733" s="11"/>
      <c r="I733" s="11"/>
      <c r="J733" s="11"/>
      <c r="K733" s="11"/>
      <c r="L733" s="15"/>
      <c r="M733" s="15"/>
      <c r="N733" s="15"/>
      <c r="O733" s="15"/>
      <c r="P733" s="15"/>
      <c r="Q733" s="11"/>
      <c r="R733" s="11"/>
      <c r="S733" s="11"/>
      <c r="T733" s="11"/>
      <c r="U733" s="15"/>
      <c r="V733" s="11"/>
      <c r="W733" s="11"/>
      <c r="X733" s="11"/>
      <c r="Y733" s="11"/>
      <c r="Z733" s="11"/>
    </row>
    <row r="734">
      <c r="A734" s="18"/>
      <c r="B734" s="11"/>
      <c r="C734" s="11"/>
      <c r="D734" s="11"/>
      <c r="E734" s="11"/>
      <c r="F734" s="11"/>
      <c r="G734" s="11"/>
      <c r="H734" s="11"/>
      <c r="I734" s="11"/>
      <c r="J734" s="11"/>
      <c r="K734" s="11"/>
      <c r="L734" s="15"/>
      <c r="M734" s="15"/>
      <c r="N734" s="15"/>
      <c r="O734" s="15"/>
      <c r="P734" s="15"/>
      <c r="Q734" s="11"/>
      <c r="R734" s="11"/>
      <c r="S734" s="11"/>
      <c r="T734" s="11"/>
      <c r="U734" s="15"/>
      <c r="V734" s="11"/>
      <c r="W734" s="11"/>
      <c r="X734" s="11"/>
      <c r="Y734" s="11"/>
      <c r="Z734" s="11"/>
    </row>
    <row r="735">
      <c r="A735" s="18"/>
      <c r="B735" s="11"/>
      <c r="C735" s="11"/>
      <c r="D735" s="11"/>
      <c r="E735" s="11"/>
      <c r="F735" s="11"/>
      <c r="G735" s="11"/>
      <c r="H735" s="11"/>
      <c r="I735" s="11"/>
      <c r="J735" s="11"/>
      <c r="K735" s="11"/>
      <c r="L735" s="15"/>
      <c r="M735" s="15"/>
      <c r="N735" s="15"/>
      <c r="O735" s="15"/>
      <c r="P735" s="15"/>
      <c r="Q735" s="11"/>
      <c r="R735" s="11"/>
      <c r="S735" s="11"/>
      <c r="T735" s="11"/>
      <c r="U735" s="15"/>
      <c r="V735" s="11"/>
      <c r="W735" s="11"/>
      <c r="X735" s="11"/>
      <c r="Y735" s="11"/>
      <c r="Z735" s="11"/>
    </row>
    <row r="736">
      <c r="A736" s="18"/>
      <c r="B736" s="11"/>
      <c r="C736" s="11"/>
      <c r="D736" s="11"/>
      <c r="E736" s="11"/>
      <c r="F736" s="11"/>
      <c r="G736" s="11"/>
      <c r="H736" s="11"/>
      <c r="I736" s="11"/>
      <c r="J736" s="11"/>
      <c r="K736" s="11"/>
      <c r="L736" s="15"/>
      <c r="M736" s="15"/>
      <c r="N736" s="15"/>
      <c r="O736" s="15"/>
      <c r="P736" s="15"/>
      <c r="Q736" s="11"/>
      <c r="R736" s="11"/>
      <c r="S736" s="11"/>
      <c r="T736" s="11"/>
      <c r="U736" s="15"/>
      <c r="V736" s="11"/>
      <c r="W736" s="11"/>
      <c r="X736" s="11"/>
      <c r="Y736" s="11"/>
      <c r="Z736" s="11"/>
    </row>
    <row r="737">
      <c r="A737" s="18"/>
      <c r="B737" s="11"/>
      <c r="C737" s="11"/>
      <c r="D737" s="11"/>
      <c r="E737" s="11"/>
      <c r="F737" s="11"/>
      <c r="G737" s="11"/>
      <c r="H737" s="11"/>
      <c r="I737" s="11"/>
      <c r="J737" s="11"/>
      <c r="K737" s="11"/>
      <c r="L737" s="15"/>
      <c r="M737" s="15"/>
      <c r="N737" s="15"/>
      <c r="O737" s="15"/>
      <c r="P737" s="15"/>
      <c r="Q737" s="11"/>
      <c r="R737" s="11"/>
      <c r="S737" s="11"/>
      <c r="T737" s="11"/>
      <c r="U737" s="15"/>
      <c r="V737" s="11"/>
      <c r="W737" s="11"/>
      <c r="X737" s="11"/>
      <c r="Y737" s="11"/>
      <c r="Z737" s="11"/>
    </row>
    <row r="738">
      <c r="A738" s="18"/>
      <c r="B738" s="11"/>
      <c r="C738" s="11"/>
      <c r="D738" s="11"/>
      <c r="E738" s="11"/>
      <c r="F738" s="11"/>
      <c r="G738" s="11"/>
      <c r="H738" s="11"/>
      <c r="I738" s="11"/>
      <c r="J738" s="11"/>
      <c r="K738" s="11"/>
      <c r="L738" s="15"/>
      <c r="M738" s="15"/>
      <c r="N738" s="15"/>
      <c r="O738" s="15"/>
      <c r="P738" s="15"/>
      <c r="Q738" s="11"/>
      <c r="R738" s="11"/>
      <c r="S738" s="11"/>
      <c r="T738" s="11"/>
      <c r="U738" s="15"/>
      <c r="V738" s="11"/>
      <c r="W738" s="11"/>
      <c r="X738" s="11"/>
      <c r="Y738" s="11"/>
      <c r="Z738" s="11"/>
    </row>
    <row r="739">
      <c r="A739" s="18"/>
      <c r="B739" s="11"/>
      <c r="C739" s="11"/>
      <c r="D739" s="11"/>
      <c r="E739" s="11"/>
      <c r="F739" s="11"/>
      <c r="G739" s="11"/>
      <c r="H739" s="11"/>
      <c r="I739" s="11"/>
      <c r="J739" s="11"/>
      <c r="K739" s="11"/>
      <c r="L739" s="15"/>
      <c r="M739" s="15"/>
      <c r="N739" s="15"/>
      <c r="O739" s="15"/>
      <c r="P739" s="15"/>
      <c r="Q739" s="11"/>
      <c r="R739" s="11"/>
      <c r="S739" s="11"/>
      <c r="T739" s="11"/>
      <c r="U739" s="15"/>
      <c r="V739" s="11"/>
      <c r="W739" s="11"/>
      <c r="X739" s="11"/>
      <c r="Y739" s="11"/>
      <c r="Z739" s="11"/>
    </row>
    <row r="740">
      <c r="A740" s="18"/>
      <c r="B740" s="11"/>
      <c r="C740" s="11"/>
      <c r="D740" s="11"/>
      <c r="E740" s="11"/>
      <c r="F740" s="11"/>
      <c r="G740" s="11"/>
      <c r="H740" s="11"/>
      <c r="I740" s="11"/>
      <c r="J740" s="11"/>
      <c r="K740" s="11"/>
      <c r="L740" s="15"/>
      <c r="M740" s="15"/>
      <c r="N740" s="15"/>
      <c r="O740" s="15"/>
      <c r="P740" s="15"/>
      <c r="Q740" s="11"/>
      <c r="R740" s="11"/>
      <c r="S740" s="11"/>
      <c r="T740" s="11"/>
      <c r="U740" s="15"/>
      <c r="V740" s="11"/>
      <c r="W740" s="11"/>
      <c r="X740" s="11"/>
      <c r="Y740" s="11"/>
      <c r="Z740" s="11"/>
    </row>
    <row r="741">
      <c r="A741" s="18"/>
      <c r="B741" s="11"/>
      <c r="C741" s="11"/>
      <c r="D741" s="11"/>
      <c r="E741" s="11"/>
      <c r="F741" s="11"/>
      <c r="G741" s="11"/>
      <c r="H741" s="11"/>
      <c r="I741" s="11"/>
      <c r="J741" s="11"/>
      <c r="K741" s="11"/>
      <c r="L741" s="15"/>
      <c r="M741" s="15"/>
      <c r="N741" s="15"/>
      <c r="O741" s="15"/>
      <c r="P741" s="15"/>
      <c r="Q741" s="11"/>
      <c r="R741" s="11"/>
      <c r="S741" s="11"/>
      <c r="T741" s="11"/>
      <c r="U741" s="15"/>
      <c r="V741" s="11"/>
      <c r="W741" s="11"/>
      <c r="X741" s="11"/>
      <c r="Y741" s="11"/>
      <c r="Z741" s="11"/>
    </row>
    <row r="742">
      <c r="A742" s="18"/>
      <c r="B742" s="11"/>
      <c r="C742" s="11"/>
      <c r="D742" s="11"/>
      <c r="E742" s="11"/>
      <c r="F742" s="11"/>
      <c r="G742" s="11"/>
      <c r="H742" s="11"/>
      <c r="I742" s="11"/>
      <c r="J742" s="11"/>
      <c r="K742" s="11"/>
      <c r="L742" s="15"/>
      <c r="M742" s="15"/>
      <c r="N742" s="15"/>
      <c r="O742" s="15"/>
      <c r="P742" s="15"/>
      <c r="Q742" s="11"/>
      <c r="R742" s="11"/>
      <c r="S742" s="11"/>
      <c r="T742" s="11"/>
      <c r="U742" s="15"/>
      <c r="V742" s="11"/>
      <c r="W742" s="11"/>
      <c r="X742" s="11"/>
      <c r="Y742" s="11"/>
      <c r="Z742" s="11"/>
    </row>
    <row r="743">
      <c r="A743" s="18"/>
      <c r="B743" s="11"/>
      <c r="C743" s="11"/>
      <c r="D743" s="11"/>
      <c r="E743" s="11"/>
      <c r="F743" s="11"/>
      <c r="G743" s="11"/>
      <c r="H743" s="11"/>
      <c r="I743" s="11"/>
      <c r="J743" s="11"/>
      <c r="K743" s="11"/>
      <c r="L743" s="15"/>
      <c r="M743" s="15"/>
      <c r="N743" s="15"/>
      <c r="O743" s="15"/>
      <c r="P743" s="15"/>
      <c r="Q743" s="11"/>
      <c r="R743" s="11"/>
      <c r="S743" s="11"/>
      <c r="T743" s="11"/>
      <c r="U743" s="15"/>
      <c r="V743" s="11"/>
      <c r="W743" s="11"/>
      <c r="X743" s="11"/>
      <c r="Y743" s="11"/>
      <c r="Z743" s="11"/>
    </row>
    <row r="744">
      <c r="A744" s="18"/>
      <c r="B744" s="11"/>
      <c r="C744" s="11"/>
      <c r="D744" s="11"/>
      <c r="E744" s="11"/>
      <c r="F744" s="11"/>
      <c r="G744" s="11"/>
      <c r="H744" s="11"/>
      <c r="I744" s="11"/>
      <c r="J744" s="11"/>
      <c r="K744" s="11"/>
      <c r="L744" s="15"/>
      <c r="M744" s="15"/>
      <c r="N744" s="15"/>
      <c r="O744" s="15"/>
      <c r="P744" s="15"/>
      <c r="Q744" s="11"/>
      <c r="R744" s="11"/>
      <c r="S744" s="11"/>
      <c r="T744" s="11"/>
      <c r="U744" s="15"/>
      <c r="V744" s="11"/>
      <c r="W744" s="11"/>
      <c r="X744" s="11"/>
      <c r="Y744" s="11"/>
      <c r="Z744" s="11"/>
    </row>
    <row r="745">
      <c r="A745" s="18"/>
      <c r="B745" s="11"/>
      <c r="C745" s="11"/>
      <c r="D745" s="11"/>
      <c r="E745" s="11"/>
      <c r="F745" s="11"/>
      <c r="G745" s="11"/>
      <c r="H745" s="11"/>
      <c r="I745" s="11"/>
      <c r="J745" s="11"/>
      <c r="K745" s="11"/>
      <c r="L745" s="15"/>
      <c r="M745" s="15"/>
      <c r="N745" s="15"/>
      <c r="O745" s="15"/>
      <c r="P745" s="15"/>
      <c r="Q745" s="11"/>
      <c r="R745" s="11"/>
      <c r="S745" s="11"/>
      <c r="T745" s="11"/>
      <c r="U745" s="15"/>
      <c r="V745" s="11"/>
      <c r="W745" s="11"/>
      <c r="X745" s="11"/>
      <c r="Y745" s="11"/>
      <c r="Z745" s="11"/>
    </row>
    <row r="746">
      <c r="A746" s="18"/>
      <c r="B746" s="11"/>
      <c r="C746" s="11"/>
      <c r="D746" s="11"/>
      <c r="E746" s="11"/>
      <c r="F746" s="11"/>
      <c r="G746" s="11"/>
      <c r="H746" s="11"/>
      <c r="I746" s="11"/>
      <c r="J746" s="11"/>
      <c r="K746" s="11"/>
      <c r="L746" s="15"/>
      <c r="M746" s="15"/>
      <c r="N746" s="15"/>
      <c r="O746" s="15"/>
      <c r="P746" s="15"/>
      <c r="Q746" s="11"/>
      <c r="R746" s="11"/>
      <c r="S746" s="11"/>
      <c r="T746" s="11"/>
      <c r="U746" s="15"/>
      <c r="V746" s="11"/>
      <c r="W746" s="11"/>
      <c r="X746" s="11"/>
      <c r="Y746" s="11"/>
      <c r="Z746" s="11"/>
    </row>
    <row r="747">
      <c r="A747" s="18"/>
      <c r="B747" s="11"/>
      <c r="C747" s="11"/>
      <c r="D747" s="11"/>
      <c r="E747" s="11"/>
      <c r="F747" s="11"/>
      <c r="G747" s="11"/>
      <c r="H747" s="11"/>
      <c r="I747" s="11"/>
      <c r="J747" s="11"/>
      <c r="K747" s="11"/>
      <c r="L747" s="15"/>
      <c r="M747" s="15"/>
      <c r="N747" s="15"/>
      <c r="O747" s="15"/>
      <c r="P747" s="15"/>
      <c r="Q747" s="11"/>
      <c r="R747" s="11"/>
      <c r="S747" s="11"/>
      <c r="T747" s="11"/>
      <c r="U747" s="15"/>
      <c r="V747" s="11"/>
      <c r="W747" s="11"/>
      <c r="X747" s="11"/>
      <c r="Y747" s="11"/>
      <c r="Z747" s="11"/>
    </row>
    <row r="748">
      <c r="A748" s="18"/>
      <c r="B748" s="11"/>
      <c r="C748" s="11"/>
      <c r="D748" s="11"/>
      <c r="E748" s="11"/>
      <c r="F748" s="11"/>
      <c r="G748" s="11"/>
      <c r="H748" s="11"/>
      <c r="I748" s="11"/>
      <c r="J748" s="11"/>
      <c r="K748" s="11"/>
      <c r="L748" s="15"/>
      <c r="M748" s="15"/>
      <c r="N748" s="15"/>
      <c r="O748" s="15"/>
      <c r="P748" s="15"/>
      <c r="Q748" s="11"/>
      <c r="R748" s="11"/>
      <c r="S748" s="11"/>
      <c r="T748" s="11"/>
      <c r="U748" s="15"/>
      <c r="V748" s="11"/>
      <c r="W748" s="11"/>
      <c r="X748" s="11"/>
      <c r="Y748" s="11"/>
      <c r="Z748" s="11"/>
    </row>
    <row r="749">
      <c r="A749" s="18"/>
      <c r="B749" s="11"/>
      <c r="C749" s="11"/>
      <c r="D749" s="11"/>
      <c r="E749" s="11"/>
      <c r="F749" s="11"/>
      <c r="G749" s="11"/>
      <c r="H749" s="11"/>
      <c r="I749" s="11"/>
      <c r="J749" s="11"/>
      <c r="K749" s="11"/>
      <c r="L749" s="15"/>
      <c r="M749" s="15"/>
      <c r="N749" s="15"/>
      <c r="O749" s="15"/>
      <c r="P749" s="15"/>
      <c r="Q749" s="11"/>
      <c r="R749" s="11"/>
      <c r="S749" s="11"/>
      <c r="T749" s="11"/>
      <c r="U749" s="15"/>
      <c r="V749" s="11"/>
      <c r="W749" s="11"/>
      <c r="X749" s="11"/>
      <c r="Y749" s="11"/>
      <c r="Z749" s="11"/>
    </row>
    <row r="750">
      <c r="A750" s="18"/>
      <c r="B750" s="11"/>
      <c r="C750" s="11"/>
      <c r="D750" s="11"/>
      <c r="E750" s="11"/>
      <c r="F750" s="11"/>
      <c r="G750" s="11"/>
      <c r="H750" s="11"/>
      <c r="I750" s="11"/>
      <c r="J750" s="11"/>
      <c r="K750" s="11"/>
      <c r="L750" s="15"/>
      <c r="M750" s="15"/>
      <c r="N750" s="15"/>
      <c r="O750" s="15"/>
      <c r="P750" s="15"/>
      <c r="Q750" s="11"/>
      <c r="R750" s="11"/>
      <c r="S750" s="11"/>
      <c r="T750" s="11"/>
      <c r="U750" s="15"/>
      <c r="V750" s="11"/>
      <c r="W750" s="11"/>
      <c r="X750" s="11"/>
      <c r="Y750" s="11"/>
      <c r="Z750" s="11"/>
    </row>
    <row r="751">
      <c r="A751" s="18"/>
      <c r="B751" s="11"/>
      <c r="C751" s="11"/>
      <c r="D751" s="11"/>
      <c r="E751" s="11"/>
      <c r="F751" s="11"/>
      <c r="G751" s="11"/>
      <c r="H751" s="11"/>
      <c r="I751" s="11"/>
      <c r="J751" s="11"/>
      <c r="K751" s="11"/>
      <c r="L751" s="15"/>
      <c r="M751" s="15"/>
      <c r="N751" s="15"/>
      <c r="O751" s="15"/>
      <c r="P751" s="15"/>
      <c r="Q751" s="11"/>
      <c r="R751" s="11"/>
      <c r="S751" s="11"/>
      <c r="T751" s="11"/>
      <c r="U751" s="15"/>
      <c r="V751" s="11"/>
      <c r="W751" s="11"/>
      <c r="X751" s="11"/>
      <c r="Y751" s="11"/>
      <c r="Z751" s="11"/>
    </row>
    <row r="752">
      <c r="A752" s="18"/>
      <c r="B752" s="11"/>
      <c r="C752" s="11"/>
      <c r="D752" s="11"/>
      <c r="E752" s="11"/>
      <c r="F752" s="11"/>
      <c r="G752" s="11"/>
      <c r="H752" s="11"/>
      <c r="I752" s="11"/>
      <c r="J752" s="11"/>
      <c r="K752" s="11"/>
      <c r="L752" s="15"/>
      <c r="M752" s="15"/>
      <c r="N752" s="15"/>
      <c r="O752" s="15"/>
      <c r="P752" s="15"/>
      <c r="Q752" s="11"/>
      <c r="R752" s="11"/>
      <c r="S752" s="11"/>
      <c r="T752" s="11"/>
      <c r="U752" s="15"/>
      <c r="V752" s="11"/>
      <c r="W752" s="11"/>
      <c r="X752" s="11"/>
      <c r="Y752" s="11"/>
      <c r="Z752" s="11"/>
    </row>
    <row r="753">
      <c r="A753" s="18"/>
      <c r="B753" s="11"/>
      <c r="C753" s="11"/>
      <c r="D753" s="11"/>
      <c r="E753" s="11"/>
      <c r="F753" s="11"/>
      <c r="G753" s="11"/>
      <c r="H753" s="11"/>
      <c r="I753" s="11"/>
      <c r="J753" s="11"/>
      <c r="K753" s="11"/>
      <c r="L753" s="15"/>
      <c r="M753" s="15"/>
      <c r="N753" s="15"/>
      <c r="O753" s="15"/>
      <c r="P753" s="15"/>
      <c r="Q753" s="11"/>
      <c r="R753" s="11"/>
      <c r="S753" s="11"/>
      <c r="T753" s="11"/>
      <c r="U753" s="15"/>
      <c r="V753" s="11"/>
      <c r="W753" s="11"/>
      <c r="X753" s="11"/>
      <c r="Y753" s="11"/>
      <c r="Z753" s="11"/>
    </row>
    <row r="754">
      <c r="A754" s="18"/>
      <c r="B754" s="11"/>
      <c r="C754" s="11"/>
      <c r="D754" s="11"/>
      <c r="E754" s="11"/>
      <c r="F754" s="11"/>
      <c r="G754" s="11"/>
      <c r="H754" s="11"/>
      <c r="I754" s="11"/>
      <c r="J754" s="11"/>
      <c r="K754" s="11"/>
      <c r="L754" s="15"/>
      <c r="M754" s="15"/>
      <c r="N754" s="15"/>
      <c r="O754" s="15"/>
      <c r="P754" s="15"/>
      <c r="Q754" s="11"/>
      <c r="R754" s="11"/>
      <c r="S754" s="11"/>
      <c r="T754" s="11"/>
      <c r="U754" s="15"/>
      <c r="V754" s="11"/>
      <c r="W754" s="11"/>
      <c r="X754" s="11"/>
      <c r="Y754" s="11"/>
      <c r="Z754" s="11"/>
    </row>
    <row r="755">
      <c r="A755" s="18"/>
      <c r="B755" s="11"/>
      <c r="C755" s="11"/>
      <c r="D755" s="11"/>
      <c r="E755" s="11"/>
      <c r="F755" s="11"/>
      <c r="G755" s="11"/>
      <c r="H755" s="11"/>
      <c r="I755" s="11"/>
      <c r="J755" s="11"/>
      <c r="K755" s="11"/>
      <c r="L755" s="15"/>
      <c r="M755" s="15"/>
      <c r="N755" s="15"/>
      <c r="O755" s="15"/>
      <c r="P755" s="15"/>
      <c r="Q755" s="11"/>
      <c r="R755" s="11"/>
      <c r="S755" s="11"/>
      <c r="T755" s="11"/>
      <c r="U755" s="15"/>
      <c r="V755" s="11"/>
      <c r="W755" s="11"/>
      <c r="X755" s="11"/>
      <c r="Y755" s="11"/>
      <c r="Z755" s="11"/>
    </row>
    <row r="756">
      <c r="A756" s="18"/>
      <c r="B756" s="11"/>
      <c r="C756" s="11"/>
      <c r="D756" s="11"/>
      <c r="E756" s="11"/>
      <c r="F756" s="11"/>
      <c r="G756" s="11"/>
      <c r="H756" s="11"/>
      <c r="I756" s="11"/>
      <c r="J756" s="11"/>
      <c r="K756" s="11"/>
      <c r="L756" s="15"/>
      <c r="M756" s="15"/>
      <c r="N756" s="15"/>
      <c r="O756" s="15"/>
      <c r="P756" s="15"/>
      <c r="Q756" s="11"/>
      <c r="R756" s="11"/>
      <c r="S756" s="11"/>
      <c r="T756" s="11"/>
      <c r="U756" s="15"/>
      <c r="V756" s="11"/>
      <c r="W756" s="11"/>
      <c r="X756" s="11"/>
      <c r="Y756" s="11"/>
      <c r="Z756" s="11"/>
    </row>
    <row r="757">
      <c r="A757" s="18"/>
      <c r="B757" s="11"/>
      <c r="C757" s="11"/>
      <c r="D757" s="11"/>
      <c r="E757" s="11"/>
      <c r="F757" s="11"/>
      <c r="G757" s="11"/>
      <c r="H757" s="11"/>
      <c r="I757" s="11"/>
      <c r="J757" s="11"/>
      <c r="K757" s="11"/>
      <c r="L757" s="15"/>
      <c r="M757" s="15"/>
      <c r="N757" s="15"/>
      <c r="O757" s="15"/>
      <c r="P757" s="15"/>
      <c r="Q757" s="11"/>
      <c r="R757" s="11"/>
      <c r="S757" s="11"/>
      <c r="T757" s="11"/>
      <c r="U757" s="15"/>
      <c r="V757" s="11"/>
      <c r="W757" s="11"/>
      <c r="X757" s="11"/>
      <c r="Y757" s="11"/>
      <c r="Z757" s="11"/>
    </row>
    <row r="758">
      <c r="A758" s="18"/>
      <c r="B758" s="11"/>
      <c r="C758" s="11"/>
      <c r="D758" s="11"/>
      <c r="E758" s="11"/>
      <c r="F758" s="11"/>
      <c r="G758" s="11"/>
      <c r="H758" s="11"/>
      <c r="I758" s="11"/>
      <c r="J758" s="11"/>
      <c r="K758" s="11"/>
      <c r="L758" s="15"/>
      <c r="M758" s="15"/>
      <c r="N758" s="15"/>
      <c r="O758" s="15"/>
      <c r="P758" s="15"/>
      <c r="Q758" s="11"/>
      <c r="R758" s="11"/>
      <c r="S758" s="11"/>
      <c r="T758" s="11"/>
      <c r="U758" s="15"/>
      <c r="V758" s="11"/>
      <c r="W758" s="11"/>
      <c r="X758" s="11"/>
      <c r="Y758" s="11"/>
      <c r="Z758" s="11"/>
    </row>
    <row r="759">
      <c r="A759" s="18"/>
      <c r="B759" s="11"/>
      <c r="C759" s="11"/>
      <c r="D759" s="11"/>
      <c r="E759" s="11"/>
      <c r="F759" s="11"/>
      <c r="G759" s="11"/>
      <c r="H759" s="11"/>
      <c r="I759" s="11"/>
      <c r="J759" s="11"/>
      <c r="K759" s="11"/>
      <c r="L759" s="15"/>
      <c r="M759" s="15"/>
      <c r="N759" s="15"/>
      <c r="O759" s="15"/>
      <c r="P759" s="15"/>
      <c r="Q759" s="11"/>
      <c r="R759" s="11"/>
      <c r="S759" s="11"/>
      <c r="T759" s="11"/>
      <c r="U759" s="15"/>
      <c r="V759" s="11"/>
      <c r="W759" s="11"/>
      <c r="X759" s="11"/>
      <c r="Y759" s="11"/>
      <c r="Z759" s="11"/>
    </row>
    <row r="760">
      <c r="A760" s="18"/>
      <c r="B760" s="11"/>
      <c r="C760" s="11"/>
      <c r="D760" s="11"/>
      <c r="E760" s="11"/>
      <c r="F760" s="11"/>
      <c r="G760" s="11"/>
      <c r="H760" s="11"/>
      <c r="I760" s="11"/>
      <c r="J760" s="11"/>
      <c r="K760" s="11"/>
      <c r="L760" s="15"/>
      <c r="M760" s="15"/>
      <c r="N760" s="15"/>
      <c r="O760" s="15"/>
      <c r="P760" s="15"/>
      <c r="Q760" s="11"/>
      <c r="R760" s="11"/>
      <c r="S760" s="11"/>
      <c r="T760" s="11"/>
      <c r="U760" s="15"/>
      <c r="V760" s="11"/>
      <c r="W760" s="11"/>
      <c r="X760" s="11"/>
      <c r="Y760" s="11"/>
      <c r="Z760" s="11"/>
    </row>
    <row r="761">
      <c r="A761" s="18"/>
      <c r="B761" s="11"/>
      <c r="C761" s="11"/>
      <c r="D761" s="11"/>
      <c r="E761" s="11"/>
      <c r="F761" s="11"/>
      <c r="G761" s="11"/>
      <c r="H761" s="11"/>
      <c r="I761" s="11"/>
      <c r="J761" s="11"/>
      <c r="K761" s="11"/>
      <c r="L761" s="15"/>
      <c r="M761" s="15"/>
      <c r="N761" s="15"/>
      <c r="O761" s="15"/>
      <c r="P761" s="15"/>
      <c r="Q761" s="11"/>
      <c r="R761" s="11"/>
      <c r="S761" s="11"/>
      <c r="T761" s="11"/>
      <c r="U761" s="15"/>
      <c r="V761" s="11"/>
      <c r="W761" s="11"/>
      <c r="X761" s="11"/>
      <c r="Y761" s="11"/>
      <c r="Z761" s="11"/>
    </row>
    <row r="762">
      <c r="A762" s="18"/>
      <c r="B762" s="11"/>
      <c r="C762" s="11"/>
      <c r="D762" s="11"/>
      <c r="E762" s="11"/>
      <c r="F762" s="11"/>
      <c r="G762" s="11"/>
      <c r="H762" s="11"/>
      <c r="I762" s="11"/>
      <c r="J762" s="11"/>
      <c r="K762" s="11"/>
      <c r="L762" s="15"/>
      <c r="M762" s="15"/>
      <c r="N762" s="15"/>
      <c r="O762" s="15"/>
      <c r="P762" s="15"/>
      <c r="Q762" s="11"/>
      <c r="R762" s="11"/>
      <c r="S762" s="11"/>
      <c r="T762" s="11"/>
      <c r="U762" s="15"/>
      <c r="V762" s="11"/>
      <c r="W762" s="11"/>
      <c r="X762" s="11"/>
      <c r="Y762" s="11"/>
      <c r="Z762" s="11"/>
    </row>
    <row r="763">
      <c r="A763" s="18"/>
      <c r="B763" s="11"/>
      <c r="C763" s="11"/>
      <c r="D763" s="11"/>
      <c r="E763" s="11"/>
      <c r="F763" s="11"/>
      <c r="G763" s="11"/>
      <c r="H763" s="11"/>
      <c r="I763" s="11"/>
      <c r="J763" s="11"/>
      <c r="K763" s="11"/>
      <c r="L763" s="15"/>
      <c r="M763" s="15"/>
      <c r="N763" s="15"/>
      <c r="O763" s="15"/>
      <c r="P763" s="15"/>
      <c r="Q763" s="11"/>
      <c r="R763" s="11"/>
      <c r="S763" s="11"/>
      <c r="T763" s="11"/>
      <c r="U763" s="15"/>
      <c r="V763" s="11"/>
      <c r="W763" s="11"/>
      <c r="X763" s="11"/>
      <c r="Y763" s="11"/>
      <c r="Z763" s="11"/>
    </row>
    <row r="764">
      <c r="A764" s="18"/>
      <c r="B764" s="11"/>
      <c r="C764" s="11"/>
      <c r="D764" s="11"/>
      <c r="E764" s="11"/>
      <c r="F764" s="11"/>
      <c r="G764" s="11"/>
      <c r="H764" s="11"/>
      <c r="I764" s="11"/>
      <c r="J764" s="11"/>
      <c r="K764" s="11"/>
      <c r="L764" s="15"/>
      <c r="M764" s="15"/>
      <c r="N764" s="15"/>
      <c r="O764" s="15"/>
      <c r="P764" s="15"/>
      <c r="Q764" s="11"/>
      <c r="R764" s="11"/>
      <c r="S764" s="11"/>
      <c r="T764" s="11"/>
      <c r="U764" s="15"/>
      <c r="V764" s="11"/>
      <c r="W764" s="11"/>
      <c r="X764" s="11"/>
      <c r="Y764" s="11"/>
      <c r="Z764" s="11"/>
    </row>
    <row r="765">
      <c r="A765" s="18"/>
      <c r="B765" s="11"/>
      <c r="C765" s="11"/>
      <c r="D765" s="11"/>
      <c r="E765" s="11"/>
      <c r="F765" s="11"/>
      <c r="G765" s="11"/>
      <c r="H765" s="11"/>
      <c r="I765" s="11"/>
      <c r="J765" s="11"/>
      <c r="K765" s="11"/>
      <c r="L765" s="15"/>
      <c r="M765" s="15"/>
      <c r="N765" s="15"/>
      <c r="O765" s="15"/>
      <c r="P765" s="15"/>
      <c r="Q765" s="11"/>
      <c r="R765" s="11"/>
      <c r="S765" s="11"/>
      <c r="T765" s="11"/>
      <c r="U765" s="15"/>
      <c r="V765" s="11"/>
      <c r="W765" s="11"/>
      <c r="X765" s="11"/>
      <c r="Y765" s="11"/>
      <c r="Z765" s="11"/>
    </row>
    <row r="766">
      <c r="A766" s="18"/>
      <c r="B766" s="11"/>
      <c r="C766" s="11"/>
      <c r="D766" s="11"/>
      <c r="E766" s="11"/>
      <c r="F766" s="11"/>
      <c r="G766" s="11"/>
      <c r="H766" s="11"/>
      <c r="I766" s="11"/>
      <c r="J766" s="11"/>
      <c r="K766" s="11"/>
      <c r="L766" s="15"/>
      <c r="M766" s="15"/>
      <c r="N766" s="15"/>
      <c r="O766" s="15"/>
      <c r="P766" s="15"/>
      <c r="Q766" s="11"/>
      <c r="R766" s="11"/>
      <c r="S766" s="11"/>
      <c r="T766" s="11"/>
      <c r="U766" s="15"/>
      <c r="V766" s="11"/>
      <c r="W766" s="11"/>
      <c r="X766" s="11"/>
      <c r="Y766" s="11"/>
      <c r="Z766" s="11"/>
    </row>
    <row r="767">
      <c r="A767" s="18"/>
      <c r="B767" s="11"/>
      <c r="C767" s="11"/>
      <c r="D767" s="11"/>
      <c r="E767" s="11"/>
      <c r="F767" s="11"/>
      <c r="G767" s="11"/>
      <c r="H767" s="11"/>
      <c r="I767" s="11"/>
      <c r="J767" s="11"/>
      <c r="K767" s="11"/>
      <c r="L767" s="15"/>
      <c r="M767" s="15"/>
      <c r="N767" s="15"/>
      <c r="O767" s="15"/>
      <c r="P767" s="15"/>
      <c r="Q767" s="11"/>
      <c r="R767" s="11"/>
      <c r="S767" s="11"/>
      <c r="T767" s="11"/>
      <c r="U767" s="15"/>
      <c r="V767" s="11"/>
      <c r="W767" s="11"/>
      <c r="X767" s="11"/>
      <c r="Y767" s="11"/>
      <c r="Z767" s="11"/>
    </row>
    <row r="768">
      <c r="A768" s="18"/>
      <c r="B768" s="11"/>
      <c r="C768" s="11"/>
      <c r="D768" s="11"/>
      <c r="E768" s="11"/>
      <c r="F768" s="11"/>
      <c r="G768" s="11"/>
      <c r="H768" s="11"/>
      <c r="I768" s="11"/>
      <c r="J768" s="11"/>
      <c r="K768" s="11"/>
      <c r="L768" s="15"/>
      <c r="M768" s="15"/>
      <c r="N768" s="15"/>
      <c r="O768" s="15"/>
      <c r="P768" s="15"/>
      <c r="Q768" s="11"/>
      <c r="R768" s="11"/>
      <c r="S768" s="11"/>
      <c r="T768" s="11"/>
      <c r="U768" s="15"/>
      <c r="V768" s="11"/>
      <c r="W768" s="11"/>
      <c r="X768" s="11"/>
      <c r="Y768" s="11"/>
      <c r="Z768" s="11"/>
    </row>
    <row r="769">
      <c r="A769" s="18"/>
      <c r="B769" s="11"/>
      <c r="C769" s="11"/>
      <c r="D769" s="11"/>
      <c r="E769" s="11"/>
      <c r="F769" s="11"/>
      <c r="G769" s="11"/>
      <c r="H769" s="11"/>
      <c r="I769" s="11"/>
      <c r="J769" s="11"/>
      <c r="K769" s="11"/>
      <c r="L769" s="15"/>
      <c r="M769" s="15"/>
      <c r="N769" s="15"/>
      <c r="O769" s="15"/>
      <c r="P769" s="15"/>
      <c r="Q769" s="11"/>
      <c r="R769" s="11"/>
      <c r="S769" s="11"/>
      <c r="T769" s="11"/>
      <c r="U769" s="15"/>
      <c r="V769" s="11"/>
      <c r="W769" s="11"/>
      <c r="X769" s="11"/>
      <c r="Y769" s="11"/>
      <c r="Z769" s="11"/>
    </row>
    <row r="770">
      <c r="A770" s="18"/>
      <c r="B770" s="11"/>
      <c r="C770" s="11"/>
      <c r="D770" s="11"/>
      <c r="E770" s="11"/>
      <c r="F770" s="11"/>
      <c r="G770" s="11"/>
      <c r="H770" s="11"/>
      <c r="I770" s="11"/>
      <c r="J770" s="11"/>
      <c r="K770" s="11"/>
      <c r="L770" s="15"/>
      <c r="M770" s="15"/>
      <c r="N770" s="15"/>
      <c r="O770" s="15"/>
      <c r="P770" s="15"/>
      <c r="Q770" s="11"/>
      <c r="R770" s="11"/>
      <c r="S770" s="11"/>
      <c r="T770" s="11"/>
      <c r="U770" s="15"/>
      <c r="V770" s="11"/>
      <c r="W770" s="11"/>
      <c r="X770" s="11"/>
      <c r="Y770" s="11"/>
      <c r="Z770" s="11"/>
    </row>
    <row r="771">
      <c r="A771" s="18"/>
      <c r="B771" s="11"/>
      <c r="C771" s="11"/>
      <c r="D771" s="11"/>
      <c r="E771" s="11"/>
      <c r="F771" s="11"/>
      <c r="G771" s="11"/>
      <c r="H771" s="11"/>
      <c r="I771" s="11"/>
      <c r="J771" s="11"/>
      <c r="K771" s="11"/>
      <c r="L771" s="15"/>
      <c r="M771" s="15"/>
      <c r="N771" s="15"/>
      <c r="O771" s="15"/>
      <c r="P771" s="15"/>
      <c r="Q771" s="11"/>
      <c r="R771" s="11"/>
      <c r="S771" s="11"/>
      <c r="T771" s="11"/>
      <c r="U771" s="15"/>
      <c r="V771" s="11"/>
      <c r="W771" s="11"/>
      <c r="X771" s="11"/>
      <c r="Y771" s="11"/>
      <c r="Z771" s="11"/>
    </row>
    <row r="772">
      <c r="A772" s="18"/>
      <c r="B772" s="11"/>
      <c r="C772" s="11"/>
      <c r="D772" s="11"/>
      <c r="E772" s="11"/>
      <c r="F772" s="11"/>
      <c r="G772" s="11"/>
      <c r="H772" s="11"/>
      <c r="I772" s="11"/>
      <c r="J772" s="11"/>
      <c r="K772" s="11"/>
      <c r="L772" s="15"/>
      <c r="M772" s="15"/>
      <c r="N772" s="15"/>
      <c r="O772" s="15"/>
      <c r="P772" s="15"/>
      <c r="Q772" s="11"/>
      <c r="R772" s="11"/>
      <c r="S772" s="11"/>
      <c r="T772" s="11"/>
      <c r="U772" s="15"/>
      <c r="V772" s="11"/>
      <c r="W772" s="11"/>
      <c r="X772" s="11"/>
      <c r="Y772" s="11"/>
      <c r="Z772" s="11"/>
    </row>
    <row r="773">
      <c r="A773" s="18"/>
      <c r="B773" s="11"/>
      <c r="C773" s="11"/>
      <c r="D773" s="11"/>
      <c r="E773" s="11"/>
      <c r="F773" s="11"/>
      <c r="G773" s="11"/>
      <c r="H773" s="11"/>
      <c r="I773" s="11"/>
      <c r="J773" s="11"/>
      <c r="K773" s="11"/>
      <c r="L773" s="15"/>
      <c r="M773" s="15"/>
      <c r="N773" s="15"/>
      <c r="O773" s="15"/>
      <c r="P773" s="15"/>
      <c r="Q773" s="11"/>
      <c r="R773" s="11"/>
      <c r="S773" s="11"/>
      <c r="T773" s="11"/>
      <c r="U773" s="15"/>
      <c r="V773" s="11"/>
      <c r="W773" s="11"/>
      <c r="X773" s="11"/>
      <c r="Y773" s="11"/>
      <c r="Z773" s="11"/>
    </row>
    <row r="774">
      <c r="A774" s="18"/>
      <c r="B774" s="11"/>
      <c r="C774" s="11"/>
      <c r="D774" s="11"/>
      <c r="E774" s="11"/>
      <c r="F774" s="11"/>
      <c r="G774" s="11"/>
      <c r="H774" s="11"/>
      <c r="I774" s="11"/>
      <c r="J774" s="11"/>
      <c r="K774" s="11"/>
      <c r="L774" s="15"/>
      <c r="M774" s="15"/>
      <c r="N774" s="15"/>
      <c r="O774" s="15"/>
      <c r="P774" s="15"/>
      <c r="Q774" s="11"/>
      <c r="R774" s="11"/>
      <c r="S774" s="11"/>
      <c r="T774" s="11"/>
      <c r="U774" s="15"/>
      <c r="V774" s="11"/>
      <c r="W774" s="11"/>
      <c r="X774" s="11"/>
      <c r="Y774" s="11"/>
      <c r="Z774" s="11"/>
    </row>
    <row r="775">
      <c r="A775" s="18"/>
      <c r="B775" s="11"/>
      <c r="C775" s="11"/>
      <c r="D775" s="11"/>
      <c r="E775" s="11"/>
      <c r="F775" s="11"/>
      <c r="G775" s="11"/>
      <c r="H775" s="11"/>
      <c r="I775" s="11"/>
      <c r="J775" s="11"/>
      <c r="K775" s="11"/>
      <c r="L775" s="15"/>
      <c r="M775" s="15"/>
      <c r="N775" s="15"/>
      <c r="O775" s="15"/>
      <c r="P775" s="15"/>
      <c r="Q775" s="11"/>
      <c r="R775" s="11"/>
      <c r="S775" s="11"/>
      <c r="T775" s="11"/>
      <c r="U775" s="15"/>
      <c r="V775" s="11"/>
      <c r="W775" s="11"/>
      <c r="X775" s="11"/>
      <c r="Y775" s="11"/>
      <c r="Z775" s="11"/>
    </row>
    <row r="776">
      <c r="A776" s="18"/>
      <c r="B776" s="11"/>
      <c r="C776" s="11"/>
      <c r="D776" s="11"/>
      <c r="E776" s="11"/>
      <c r="F776" s="11"/>
      <c r="G776" s="11"/>
      <c r="H776" s="11"/>
      <c r="I776" s="11"/>
      <c r="J776" s="11"/>
      <c r="K776" s="11"/>
      <c r="L776" s="15"/>
      <c r="M776" s="15"/>
      <c r="N776" s="15"/>
      <c r="O776" s="15"/>
      <c r="P776" s="15"/>
      <c r="Q776" s="11"/>
      <c r="R776" s="11"/>
      <c r="S776" s="11"/>
      <c r="T776" s="11"/>
      <c r="U776" s="15"/>
      <c r="V776" s="11"/>
      <c r="W776" s="11"/>
      <c r="X776" s="11"/>
      <c r="Y776" s="11"/>
      <c r="Z776" s="11"/>
    </row>
    <row r="777">
      <c r="A777" s="18"/>
      <c r="B777" s="11"/>
      <c r="C777" s="11"/>
      <c r="D777" s="11"/>
      <c r="E777" s="11"/>
      <c r="F777" s="11"/>
      <c r="G777" s="11"/>
      <c r="H777" s="11"/>
      <c r="I777" s="11"/>
      <c r="J777" s="11"/>
      <c r="K777" s="11"/>
      <c r="L777" s="15"/>
      <c r="M777" s="15"/>
      <c r="N777" s="15"/>
      <c r="O777" s="15"/>
      <c r="P777" s="15"/>
      <c r="Q777" s="11"/>
      <c r="R777" s="11"/>
      <c r="S777" s="11"/>
      <c r="T777" s="11"/>
      <c r="U777" s="15"/>
      <c r="V777" s="11"/>
      <c r="W777" s="11"/>
      <c r="X777" s="11"/>
      <c r="Y777" s="11"/>
      <c r="Z777" s="11"/>
    </row>
    <row r="778">
      <c r="A778" s="18"/>
      <c r="B778" s="11"/>
      <c r="C778" s="11"/>
      <c r="D778" s="11"/>
      <c r="E778" s="11"/>
      <c r="F778" s="11"/>
      <c r="G778" s="11"/>
      <c r="H778" s="11"/>
      <c r="I778" s="11"/>
      <c r="J778" s="11"/>
      <c r="K778" s="11"/>
      <c r="L778" s="15"/>
      <c r="M778" s="15"/>
      <c r="N778" s="15"/>
      <c r="O778" s="15"/>
      <c r="P778" s="15"/>
      <c r="Q778" s="11"/>
      <c r="R778" s="11"/>
      <c r="S778" s="11"/>
      <c r="T778" s="11"/>
      <c r="U778" s="15"/>
      <c r="V778" s="11"/>
      <c r="W778" s="11"/>
      <c r="X778" s="11"/>
      <c r="Y778" s="11"/>
      <c r="Z778" s="11"/>
    </row>
    <row r="779">
      <c r="A779" s="18"/>
      <c r="B779" s="11"/>
      <c r="C779" s="11"/>
      <c r="D779" s="11"/>
      <c r="E779" s="11"/>
      <c r="F779" s="11"/>
      <c r="G779" s="11"/>
      <c r="H779" s="11"/>
      <c r="I779" s="11"/>
      <c r="J779" s="11"/>
      <c r="K779" s="11"/>
      <c r="L779" s="15"/>
      <c r="M779" s="15"/>
      <c r="N779" s="15"/>
      <c r="O779" s="15"/>
      <c r="P779" s="15"/>
      <c r="Q779" s="11"/>
      <c r="R779" s="11"/>
      <c r="S779" s="11"/>
      <c r="T779" s="11"/>
      <c r="U779" s="15"/>
      <c r="V779" s="11"/>
      <c r="W779" s="11"/>
      <c r="X779" s="11"/>
      <c r="Y779" s="11"/>
      <c r="Z779" s="11"/>
    </row>
    <row r="780">
      <c r="A780" s="18"/>
      <c r="B780" s="11"/>
      <c r="C780" s="11"/>
      <c r="D780" s="11"/>
      <c r="E780" s="11"/>
      <c r="F780" s="11"/>
      <c r="G780" s="11"/>
      <c r="H780" s="11"/>
      <c r="I780" s="11"/>
      <c r="J780" s="11"/>
      <c r="K780" s="11"/>
      <c r="L780" s="15"/>
      <c r="M780" s="15"/>
      <c r="N780" s="15"/>
      <c r="O780" s="15"/>
      <c r="P780" s="15"/>
      <c r="Q780" s="11"/>
      <c r="R780" s="11"/>
      <c r="S780" s="11"/>
      <c r="T780" s="11"/>
      <c r="U780" s="15"/>
      <c r="V780" s="11"/>
      <c r="W780" s="11"/>
      <c r="X780" s="11"/>
      <c r="Y780" s="11"/>
      <c r="Z780" s="11"/>
    </row>
    <row r="781">
      <c r="A781" s="18"/>
      <c r="B781" s="11"/>
      <c r="C781" s="11"/>
      <c r="D781" s="11"/>
      <c r="E781" s="11"/>
      <c r="F781" s="11"/>
      <c r="G781" s="11"/>
      <c r="H781" s="11"/>
      <c r="I781" s="11"/>
      <c r="J781" s="11"/>
      <c r="K781" s="11"/>
      <c r="L781" s="15"/>
      <c r="M781" s="15"/>
      <c r="N781" s="15"/>
      <c r="O781" s="15"/>
      <c r="P781" s="15"/>
      <c r="Q781" s="11"/>
      <c r="R781" s="11"/>
      <c r="S781" s="11"/>
      <c r="T781" s="11"/>
      <c r="U781" s="15"/>
      <c r="V781" s="11"/>
      <c r="W781" s="11"/>
      <c r="X781" s="11"/>
      <c r="Y781" s="11"/>
      <c r="Z781" s="11"/>
    </row>
    <row r="782">
      <c r="A782" s="18"/>
      <c r="B782" s="11"/>
      <c r="C782" s="11"/>
      <c r="D782" s="11"/>
      <c r="E782" s="11"/>
      <c r="F782" s="11"/>
      <c r="G782" s="11"/>
      <c r="H782" s="11"/>
      <c r="I782" s="11"/>
      <c r="J782" s="11"/>
      <c r="K782" s="11"/>
      <c r="L782" s="15"/>
      <c r="M782" s="15"/>
      <c r="N782" s="15"/>
      <c r="O782" s="15"/>
      <c r="P782" s="15"/>
      <c r="Q782" s="11"/>
      <c r="R782" s="11"/>
      <c r="S782" s="11"/>
      <c r="T782" s="11"/>
      <c r="U782" s="15"/>
      <c r="V782" s="11"/>
      <c r="W782" s="11"/>
      <c r="X782" s="11"/>
      <c r="Y782" s="11"/>
      <c r="Z782" s="11"/>
    </row>
    <row r="783">
      <c r="A783" s="18"/>
      <c r="B783" s="11"/>
      <c r="C783" s="11"/>
      <c r="D783" s="11"/>
      <c r="E783" s="11"/>
      <c r="F783" s="11"/>
      <c r="G783" s="11"/>
      <c r="H783" s="11"/>
      <c r="I783" s="11"/>
      <c r="J783" s="11"/>
      <c r="K783" s="11"/>
      <c r="L783" s="15"/>
      <c r="M783" s="15"/>
      <c r="N783" s="15"/>
      <c r="O783" s="15"/>
      <c r="P783" s="15"/>
      <c r="Q783" s="11"/>
      <c r="R783" s="11"/>
      <c r="S783" s="11"/>
      <c r="T783" s="11"/>
      <c r="U783" s="15"/>
      <c r="V783" s="11"/>
      <c r="W783" s="11"/>
      <c r="X783" s="11"/>
      <c r="Y783" s="11"/>
      <c r="Z783" s="11"/>
    </row>
    <row r="784">
      <c r="A784" s="18"/>
      <c r="B784" s="11"/>
      <c r="C784" s="11"/>
      <c r="D784" s="11"/>
      <c r="E784" s="11"/>
      <c r="F784" s="11"/>
      <c r="G784" s="11"/>
      <c r="H784" s="11"/>
      <c r="I784" s="11"/>
      <c r="J784" s="11"/>
      <c r="K784" s="11"/>
      <c r="L784" s="15"/>
      <c r="M784" s="15"/>
      <c r="N784" s="15"/>
      <c r="O784" s="15"/>
      <c r="P784" s="15"/>
      <c r="Q784" s="11"/>
      <c r="R784" s="11"/>
      <c r="S784" s="11"/>
      <c r="T784" s="11"/>
      <c r="U784" s="15"/>
      <c r="V784" s="11"/>
      <c r="W784" s="11"/>
      <c r="X784" s="11"/>
      <c r="Y784" s="11"/>
      <c r="Z784" s="11"/>
    </row>
    <row r="785">
      <c r="A785" s="18"/>
      <c r="B785" s="11"/>
      <c r="C785" s="11"/>
      <c r="D785" s="11"/>
      <c r="E785" s="11"/>
      <c r="F785" s="11"/>
      <c r="G785" s="11"/>
      <c r="H785" s="11"/>
      <c r="I785" s="11"/>
      <c r="J785" s="11"/>
      <c r="K785" s="11"/>
      <c r="L785" s="15"/>
      <c r="M785" s="15"/>
      <c r="N785" s="15"/>
      <c r="O785" s="15"/>
      <c r="P785" s="15"/>
      <c r="Q785" s="11"/>
      <c r="R785" s="11"/>
      <c r="S785" s="11"/>
      <c r="T785" s="11"/>
      <c r="U785" s="15"/>
      <c r="V785" s="11"/>
      <c r="W785" s="11"/>
      <c r="X785" s="11"/>
      <c r="Y785" s="11"/>
      <c r="Z785" s="11"/>
    </row>
    <row r="786">
      <c r="A786" s="18"/>
      <c r="B786" s="11"/>
      <c r="C786" s="11"/>
      <c r="D786" s="11"/>
      <c r="E786" s="11"/>
      <c r="F786" s="11"/>
      <c r="G786" s="11"/>
      <c r="H786" s="11"/>
      <c r="I786" s="11"/>
      <c r="J786" s="11"/>
      <c r="K786" s="11"/>
      <c r="L786" s="15"/>
      <c r="M786" s="15"/>
      <c r="N786" s="15"/>
      <c r="O786" s="15"/>
      <c r="P786" s="15"/>
      <c r="Q786" s="11"/>
      <c r="R786" s="11"/>
      <c r="S786" s="11"/>
      <c r="T786" s="11"/>
      <c r="U786" s="15"/>
      <c r="V786" s="11"/>
      <c r="W786" s="11"/>
      <c r="X786" s="11"/>
      <c r="Y786" s="11"/>
      <c r="Z786" s="11"/>
    </row>
    <row r="787">
      <c r="A787" s="18"/>
      <c r="B787" s="11"/>
      <c r="C787" s="11"/>
      <c r="D787" s="11"/>
      <c r="E787" s="11"/>
      <c r="F787" s="11"/>
      <c r="G787" s="11"/>
      <c r="H787" s="11"/>
      <c r="I787" s="11"/>
      <c r="J787" s="11"/>
      <c r="K787" s="11"/>
      <c r="L787" s="15"/>
      <c r="M787" s="15"/>
      <c r="N787" s="15"/>
      <c r="O787" s="15"/>
      <c r="P787" s="15"/>
      <c r="Q787" s="11"/>
      <c r="R787" s="11"/>
      <c r="S787" s="11"/>
      <c r="T787" s="11"/>
      <c r="U787" s="15"/>
      <c r="V787" s="11"/>
      <c r="W787" s="11"/>
      <c r="X787" s="11"/>
      <c r="Y787" s="11"/>
      <c r="Z787" s="11"/>
    </row>
    <row r="788">
      <c r="A788" s="18"/>
      <c r="B788" s="11"/>
      <c r="C788" s="11"/>
      <c r="D788" s="11"/>
      <c r="E788" s="11"/>
      <c r="F788" s="11"/>
      <c r="G788" s="11"/>
      <c r="H788" s="11"/>
      <c r="I788" s="11"/>
      <c r="J788" s="11"/>
      <c r="K788" s="11"/>
      <c r="L788" s="15"/>
      <c r="M788" s="15"/>
      <c r="N788" s="15"/>
      <c r="O788" s="15"/>
      <c r="P788" s="15"/>
      <c r="Q788" s="11"/>
      <c r="R788" s="11"/>
      <c r="S788" s="11"/>
      <c r="T788" s="11"/>
      <c r="U788" s="15"/>
      <c r="V788" s="11"/>
      <c r="W788" s="11"/>
      <c r="X788" s="11"/>
      <c r="Y788" s="11"/>
      <c r="Z788" s="11"/>
    </row>
    <row r="789">
      <c r="A789" s="18"/>
      <c r="B789" s="11"/>
      <c r="C789" s="11"/>
      <c r="D789" s="11"/>
      <c r="E789" s="11"/>
      <c r="F789" s="11"/>
      <c r="G789" s="11"/>
      <c r="H789" s="11"/>
      <c r="I789" s="11"/>
      <c r="J789" s="11"/>
      <c r="K789" s="11"/>
      <c r="L789" s="15"/>
      <c r="M789" s="15"/>
      <c r="N789" s="15"/>
      <c r="O789" s="15"/>
      <c r="P789" s="15"/>
      <c r="Q789" s="11"/>
      <c r="R789" s="11"/>
      <c r="S789" s="11"/>
      <c r="T789" s="11"/>
      <c r="U789" s="15"/>
      <c r="V789" s="11"/>
      <c r="W789" s="11"/>
      <c r="X789" s="11"/>
      <c r="Y789" s="11"/>
      <c r="Z789" s="11"/>
    </row>
    <row r="790">
      <c r="A790" s="18"/>
      <c r="B790" s="11"/>
      <c r="C790" s="11"/>
      <c r="D790" s="11"/>
      <c r="E790" s="11"/>
      <c r="F790" s="11"/>
      <c r="G790" s="11"/>
      <c r="H790" s="11"/>
      <c r="I790" s="11"/>
      <c r="J790" s="11"/>
      <c r="K790" s="11"/>
      <c r="L790" s="15"/>
      <c r="M790" s="15"/>
      <c r="N790" s="15"/>
      <c r="O790" s="15"/>
      <c r="P790" s="15"/>
      <c r="Q790" s="11"/>
      <c r="R790" s="11"/>
      <c r="S790" s="11"/>
      <c r="T790" s="11"/>
      <c r="U790" s="15"/>
      <c r="V790" s="11"/>
      <c r="W790" s="11"/>
      <c r="X790" s="11"/>
      <c r="Y790" s="11"/>
      <c r="Z790" s="11"/>
    </row>
    <row r="791">
      <c r="A791" s="18"/>
      <c r="B791" s="11"/>
      <c r="C791" s="11"/>
      <c r="D791" s="11"/>
      <c r="E791" s="11"/>
      <c r="F791" s="11"/>
      <c r="G791" s="11"/>
      <c r="H791" s="11"/>
      <c r="I791" s="11"/>
      <c r="J791" s="11"/>
      <c r="K791" s="11"/>
      <c r="L791" s="15"/>
      <c r="M791" s="15"/>
      <c r="N791" s="15"/>
      <c r="O791" s="15"/>
      <c r="P791" s="15"/>
      <c r="Q791" s="11"/>
      <c r="R791" s="11"/>
      <c r="S791" s="11"/>
      <c r="T791" s="11"/>
      <c r="U791" s="15"/>
      <c r="V791" s="11"/>
      <c r="W791" s="11"/>
      <c r="X791" s="11"/>
      <c r="Y791" s="11"/>
      <c r="Z791" s="11"/>
    </row>
    <row r="792">
      <c r="A792" s="18"/>
      <c r="B792" s="11"/>
      <c r="C792" s="11"/>
      <c r="D792" s="11"/>
      <c r="E792" s="11"/>
      <c r="F792" s="11"/>
      <c r="G792" s="11"/>
      <c r="H792" s="11"/>
      <c r="I792" s="11"/>
      <c r="J792" s="11"/>
      <c r="K792" s="11"/>
      <c r="L792" s="15"/>
      <c r="M792" s="15"/>
      <c r="N792" s="15"/>
      <c r="O792" s="15"/>
      <c r="P792" s="15"/>
      <c r="Q792" s="11"/>
      <c r="R792" s="11"/>
      <c r="S792" s="11"/>
      <c r="T792" s="11"/>
      <c r="U792" s="15"/>
      <c r="V792" s="11"/>
      <c r="W792" s="11"/>
      <c r="X792" s="11"/>
      <c r="Y792" s="11"/>
      <c r="Z792" s="11"/>
    </row>
    <row r="793">
      <c r="A793" s="18"/>
      <c r="B793" s="11"/>
      <c r="C793" s="11"/>
      <c r="D793" s="11"/>
      <c r="E793" s="11"/>
      <c r="F793" s="11"/>
      <c r="G793" s="11"/>
      <c r="H793" s="11"/>
      <c r="I793" s="11"/>
      <c r="J793" s="11"/>
      <c r="K793" s="11"/>
      <c r="L793" s="15"/>
      <c r="M793" s="15"/>
      <c r="N793" s="15"/>
      <c r="O793" s="15"/>
      <c r="P793" s="15"/>
      <c r="Q793" s="11"/>
      <c r="R793" s="11"/>
      <c r="S793" s="11"/>
      <c r="T793" s="11"/>
      <c r="U793" s="15"/>
      <c r="V793" s="11"/>
      <c r="W793" s="11"/>
      <c r="X793" s="11"/>
      <c r="Y793" s="11"/>
      <c r="Z793" s="11"/>
    </row>
    <row r="794">
      <c r="A794" s="18"/>
      <c r="B794" s="11"/>
      <c r="C794" s="11"/>
      <c r="D794" s="11"/>
      <c r="E794" s="11"/>
      <c r="F794" s="11"/>
      <c r="G794" s="11"/>
      <c r="H794" s="11"/>
      <c r="I794" s="11"/>
      <c r="J794" s="11"/>
      <c r="K794" s="11"/>
      <c r="L794" s="15"/>
      <c r="M794" s="15"/>
      <c r="N794" s="15"/>
      <c r="O794" s="15"/>
      <c r="P794" s="15"/>
      <c r="Q794" s="11"/>
      <c r="R794" s="11"/>
      <c r="S794" s="11"/>
      <c r="T794" s="11"/>
      <c r="U794" s="15"/>
      <c r="V794" s="11"/>
      <c r="W794" s="11"/>
      <c r="X794" s="11"/>
      <c r="Y794" s="11"/>
      <c r="Z794" s="11"/>
    </row>
    <row r="795">
      <c r="A795" s="18"/>
      <c r="B795" s="11"/>
      <c r="C795" s="11"/>
      <c r="D795" s="11"/>
      <c r="E795" s="11"/>
      <c r="F795" s="11"/>
      <c r="G795" s="11"/>
      <c r="H795" s="11"/>
      <c r="I795" s="11"/>
      <c r="J795" s="11"/>
      <c r="K795" s="11"/>
      <c r="L795" s="15"/>
      <c r="M795" s="15"/>
      <c r="N795" s="15"/>
      <c r="O795" s="15"/>
      <c r="P795" s="15"/>
      <c r="Q795" s="11"/>
      <c r="R795" s="11"/>
      <c r="S795" s="11"/>
      <c r="T795" s="11"/>
      <c r="U795" s="15"/>
      <c r="V795" s="11"/>
      <c r="W795" s="11"/>
      <c r="X795" s="11"/>
      <c r="Y795" s="11"/>
      <c r="Z795" s="11"/>
    </row>
    <row r="796">
      <c r="A796" s="18"/>
      <c r="B796" s="11"/>
      <c r="C796" s="11"/>
      <c r="D796" s="11"/>
      <c r="E796" s="11"/>
      <c r="F796" s="11"/>
      <c r="G796" s="11"/>
      <c r="H796" s="11"/>
      <c r="I796" s="11"/>
      <c r="J796" s="11"/>
      <c r="K796" s="11"/>
      <c r="L796" s="15"/>
      <c r="M796" s="15"/>
      <c r="N796" s="15"/>
      <c r="O796" s="15"/>
      <c r="P796" s="15"/>
      <c r="Q796" s="11"/>
      <c r="R796" s="11"/>
      <c r="S796" s="11"/>
      <c r="T796" s="11"/>
      <c r="U796" s="15"/>
      <c r="V796" s="11"/>
      <c r="W796" s="11"/>
      <c r="X796" s="11"/>
      <c r="Y796" s="11"/>
      <c r="Z796" s="11"/>
    </row>
    <row r="797">
      <c r="A797" s="18"/>
      <c r="B797" s="11"/>
      <c r="C797" s="11"/>
      <c r="D797" s="11"/>
      <c r="E797" s="11"/>
      <c r="F797" s="11"/>
      <c r="G797" s="11"/>
      <c r="H797" s="11"/>
      <c r="I797" s="11"/>
      <c r="J797" s="11"/>
      <c r="K797" s="11"/>
      <c r="L797" s="15"/>
      <c r="M797" s="15"/>
      <c r="N797" s="15"/>
      <c r="O797" s="15"/>
      <c r="P797" s="15"/>
      <c r="Q797" s="11"/>
      <c r="R797" s="11"/>
      <c r="S797" s="11"/>
      <c r="T797" s="11"/>
      <c r="U797" s="15"/>
      <c r="V797" s="11"/>
      <c r="W797" s="11"/>
      <c r="X797" s="11"/>
      <c r="Y797" s="11"/>
      <c r="Z797" s="11"/>
    </row>
    <row r="798">
      <c r="A798" s="18"/>
      <c r="B798" s="11"/>
      <c r="C798" s="11"/>
      <c r="D798" s="11"/>
      <c r="E798" s="11"/>
      <c r="F798" s="11"/>
      <c r="G798" s="11"/>
      <c r="H798" s="11"/>
      <c r="I798" s="11"/>
      <c r="J798" s="11"/>
      <c r="K798" s="11"/>
      <c r="L798" s="15"/>
      <c r="M798" s="15"/>
      <c r="N798" s="15"/>
      <c r="O798" s="15"/>
      <c r="P798" s="15"/>
      <c r="Q798" s="11"/>
      <c r="R798" s="11"/>
      <c r="S798" s="11"/>
      <c r="T798" s="11"/>
      <c r="U798" s="15"/>
      <c r="V798" s="11"/>
      <c r="W798" s="11"/>
      <c r="X798" s="11"/>
      <c r="Y798" s="11"/>
      <c r="Z798" s="11"/>
    </row>
    <row r="799">
      <c r="A799" s="18"/>
      <c r="B799" s="11"/>
      <c r="C799" s="11"/>
      <c r="D799" s="11"/>
      <c r="E799" s="11"/>
      <c r="F799" s="11"/>
      <c r="G799" s="11"/>
      <c r="H799" s="11"/>
      <c r="I799" s="11"/>
      <c r="J799" s="11"/>
      <c r="K799" s="11"/>
      <c r="L799" s="15"/>
      <c r="M799" s="15"/>
      <c r="N799" s="15"/>
      <c r="O799" s="15"/>
      <c r="P799" s="15"/>
      <c r="Q799" s="11"/>
      <c r="R799" s="11"/>
      <c r="S799" s="11"/>
      <c r="T799" s="11"/>
      <c r="U799" s="15"/>
      <c r="V799" s="11"/>
      <c r="W799" s="11"/>
      <c r="X799" s="11"/>
      <c r="Y799" s="11"/>
      <c r="Z799" s="11"/>
    </row>
    <row r="800">
      <c r="A800" s="18"/>
      <c r="B800" s="11"/>
      <c r="C800" s="11"/>
      <c r="D800" s="11"/>
      <c r="E800" s="11"/>
      <c r="F800" s="11"/>
      <c r="G800" s="11"/>
      <c r="H800" s="11"/>
      <c r="I800" s="11"/>
      <c r="J800" s="11"/>
      <c r="K800" s="11"/>
      <c r="L800" s="15"/>
      <c r="M800" s="15"/>
      <c r="N800" s="15"/>
      <c r="O800" s="15"/>
      <c r="P800" s="15"/>
      <c r="Q800" s="11"/>
      <c r="R800" s="11"/>
      <c r="S800" s="11"/>
      <c r="T800" s="11"/>
      <c r="U800" s="15"/>
      <c r="V800" s="11"/>
      <c r="W800" s="11"/>
      <c r="X800" s="11"/>
      <c r="Y800" s="11"/>
      <c r="Z800" s="11"/>
    </row>
    <row r="801">
      <c r="A801" s="18"/>
      <c r="B801" s="11"/>
      <c r="C801" s="11"/>
      <c r="D801" s="11"/>
      <c r="E801" s="11"/>
      <c r="F801" s="11"/>
      <c r="G801" s="11"/>
      <c r="H801" s="11"/>
      <c r="I801" s="11"/>
      <c r="J801" s="11"/>
      <c r="K801" s="11"/>
      <c r="L801" s="15"/>
      <c r="M801" s="15"/>
      <c r="N801" s="15"/>
      <c r="O801" s="15"/>
      <c r="P801" s="15"/>
      <c r="Q801" s="11"/>
      <c r="R801" s="11"/>
      <c r="S801" s="11"/>
      <c r="T801" s="11"/>
      <c r="U801" s="15"/>
      <c r="V801" s="11"/>
      <c r="W801" s="11"/>
      <c r="X801" s="11"/>
      <c r="Y801" s="11"/>
      <c r="Z801" s="11"/>
    </row>
    <row r="802">
      <c r="A802" s="18"/>
      <c r="B802" s="11"/>
      <c r="C802" s="11"/>
      <c r="D802" s="11"/>
      <c r="E802" s="11"/>
      <c r="F802" s="11"/>
      <c r="G802" s="11"/>
      <c r="H802" s="11"/>
      <c r="I802" s="11"/>
      <c r="J802" s="11"/>
      <c r="K802" s="11"/>
      <c r="L802" s="15"/>
      <c r="M802" s="15"/>
      <c r="N802" s="15"/>
      <c r="O802" s="15"/>
      <c r="P802" s="15"/>
      <c r="Q802" s="11"/>
      <c r="R802" s="11"/>
      <c r="S802" s="11"/>
      <c r="T802" s="11"/>
      <c r="U802" s="15"/>
      <c r="V802" s="11"/>
      <c r="W802" s="11"/>
      <c r="X802" s="11"/>
      <c r="Y802" s="11"/>
      <c r="Z802" s="11"/>
    </row>
    <row r="803">
      <c r="A803" s="18"/>
      <c r="B803" s="11"/>
      <c r="C803" s="11"/>
      <c r="D803" s="11"/>
      <c r="E803" s="11"/>
      <c r="F803" s="11"/>
      <c r="G803" s="11"/>
      <c r="H803" s="11"/>
      <c r="I803" s="11"/>
      <c r="J803" s="11"/>
      <c r="K803" s="11"/>
      <c r="L803" s="15"/>
      <c r="M803" s="15"/>
      <c r="N803" s="15"/>
      <c r="O803" s="15"/>
      <c r="P803" s="15"/>
      <c r="Q803" s="11"/>
      <c r="R803" s="11"/>
      <c r="S803" s="11"/>
      <c r="T803" s="11"/>
      <c r="U803" s="15"/>
      <c r="V803" s="11"/>
      <c r="W803" s="11"/>
      <c r="X803" s="11"/>
      <c r="Y803" s="11"/>
      <c r="Z803" s="11"/>
    </row>
    <row r="804">
      <c r="A804" s="18"/>
      <c r="B804" s="11"/>
      <c r="C804" s="11"/>
      <c r="D804" s="11"/>
      <c r="E804" s="11"/>
      <c r="F804" s="11"/>
      <c r="G804" s="11"/>
      <c r="H804" s="11"/>
      <c r="I804" s="11"/>
      <c r="J804" s="11"/>
      <c r="K804" s="11"/>
      <c r="L804" s="15"/>
      <c r="M804" s="15"/>
      <c r="N804" s="15"/>
      <c r="O804" s="15"/>
      <c r="P804" s="15"/>
      <c r="Q804" s="11"/>
      <c r="R804" s="11"/>
      <c r="S804" s="11"/>
      <c r="T804" s="11"/>
      <c r="U804" s="15"/>
      <c r="V804" s="11"/>
      <c r="W804" s="11"/>
      <c r="X804" s="11"/>
      <c r="Y804" s="11"/>
      <c r="Z804" s="11"/>
    </row>
    <row r="805">
      <c r="A805" s="18"/>
      <c r="B805" s="11"/>
      <c r="C805" s="11"/>
      <c r="D805" s="11"/>
      <c r="E805" s="11"/>
      <c r="F805" s="11"/>
      <c r="G805" s="11"/>
      <c r="H805" s="11"/>
      <c r="I805" s="11"/>
      <c r="J805" s="11"/>
      <c r="K805" s="11"/>
      <c r="L805" s="15"/>
      <c r="M805" s="15"/>
      <c r="N805" s="15"/>
      <c r="O805" s="15"/>
      <c r="P805" s="15"/>
      <c r="Q805" s="11"/>
      <c r="R805" s="11"/>
      <c r="S805" s="11"/>
      <c r="T805" s="11"/>
      <c r="U805" s="15"/>
      <c r="V805" s="11"/>
      <c r="W805" s="11"/>
      <c r="X805" s="11"/>
      <c r="Y805" s="11"/>
      <c r="Z805" s="11"/>
    </row>
    <row r="806">
      <c r="A806" s="18"/>
      <c r="B806" s="11"/>
      <c r="C806" s="11"/>
      <c r="D806" s="11"/>
      <c r="E806" s="11"/>
      <c r="F806" s="11"/>
      <c r="G806" s="11"/>
      <c r="H806" s="11"/>
      <c r="I806" s="11"/>
      <c r="J806" s="11"/>
      <c r="K806" s="11"/>
      <c r="L806" s="15"/>
      <c r="M806" s="15"/>
      <c r="N806" s="15"/>
      <c r="O806" s="15"/>
      <c r="P806" s="15"/>
      <c r="Q806" s="11"/>
      <c r="R806" s="11"/>
      <c r="S806" s="11"/>
      <c r="T806" s="11"/>
      <c r="U806" s="15"/>
      <c r="V806" s="11"/>
      <c r="W806" s="11"/>
      <c r="X806" s="11"/>
      <c r="Y806" s="11"/>
      <c r="Z806" s="11"/>
    </row>
    <row r="807">
      <c r="A807" s="18"/>
      <c r="B807" s="11"/>
      <c r="C807" s="11"/>
      <c r="D807" s="11"/>
      <c r="E807" s="11"/>
      <c r="F807" s="11"/>
      <c r="G807" s="11"/>
      <c r="H807" s="11"/>
      <c r="I807" s="11"/>
      <c r="J807" s="11"/>
      <c r="K807" s="11"/>
      <c r="L807" s="15"/>
      <c r="M807" s="15"/>
      <c r="N807" s="15"/>
      <c r="O807" s="15"/>
      <c r="P807" s="15"/>
      <c r="Q807" s="11"/>
      <c r="R807" s="11"/>
      <c r="S807" s="11"/>
      <c r="T807" s="11"/>
      <c r="U807" s="15"/>
      <c r="V807" s="11"/>
      <c r="W807" s="11"/>
      <c r="X807" s="11"/>
      <c r="Y807" s="11"/>
      <c r="Z807" s="11"/>
    </row>
    <row r="808">
      <c r="A808" s="18"/>
      <c r="B808" s="11"/>
      <c r="C808" s="11"/>
      <c r="D808" s="11"/>
      <c r="E808" s="11"/>
      <c r="F808" s="11"/>
      <c r="G808" s="11"/>
      <c r="H808" s="11"/>
      <c r="I808" s="11"/>
      <c r="J808" s="11"/>
      <c r="K808" s="11"/>
      <c r="L808" s="15"/>
      <c r="M808" s="15"/>
      <c r="N808" s="15"/>
      <c r="O808" s="15"/>
      <c r="P808" s="15"/>
      <c r="Q808" s="11"/>
      <c r="R808" s="11"/>
      <c r="S808" s="11"/>
      <c r="T808" s="11"/>
      <c r="U808" s="15"/>
      <c r="V808" s="11"/>
      <c r="W808" s="11"/>
      <c r="X808" s="11"/>
      <c r="Y808" s="11"/>
      <c r="Z808" s="11"/>
    </row>
    <row r="809">
      <c r="A809" s="18"/>
      <c r="B809" s="11"/>
      <c r="C809" s="11"/>
      <c r="D809" s="11"/>
      <c r="E809" s="11"/>
      <c r="F809" s="11"/>
      <c r="G809" s="11"/>
      <c r="H809" s="11"/>
      <c r="I809" s="11"/>
      <c r="J809" s="11"/>
      <c r="K809" s="11"/>
      <c r="L809" s="15"/>
      <c r="M809" s="15"/>
      <c r="N809" s="15"/>
      <c r="O809" s="15"/>
      <c r="P809" s="15"/>
      <c r="Q809" s="11"/>
      <c r="R809" s="11"/>
      <c r="S809" s="11"/>
      <c r="T809" s="11"/>
      <c r="U809" s="15"/>
      <c r="V809" s="11"/>
      <c r="W809" s="11"/>
      <c r="X809" s="11"/>
      <c r="Y809" s="11"/>
      <c r="Z809" s="11"/>
    </row>
    <row r="810">
      <c r="A810" s="18"/>
      <c r="B810" s="11"/>
      <c r="C810" s="11"/>
      <c r="D810" s="11"/>
      <c r="E810" s="11"/>
      <c r="F810" s="11"/>
      <c r="G810" s="11"/>
      <c r="H810" s="11"/>
      <c r="I810" s="11"/>
      <c r="J810" s="11"/>
      <c r="K810" s="11"/>
      <c r="L810" s="15"/>
      <c r="M810" s="15"/>
      <c r="N810" s="15"/>
      <c r="O810" s="15"/>
      <c r="P810" s="15"/>
      <c r="Q810" s="11"/>
      <c r="R810" s="11"/>
      <c r="S810" s="11"/>
      <c r="T810" s="11"/>
      <c r="U810" s="15"/>
      <c r="V810" s="11"/>
      <c r="W810" s="11"/>
      <c r="X810" s="11"/>
      <c r="Y810" s="11"/>
      <c r="Z810" s="11"/>
    </row>
    <row r="811">
      <c r="A811" s="18"/>
      <c r="B811" s="11"/>
      <c r="C811" s="11"/>
      <c r="D811" s="11"/>
      <c r="E811" s="11"/>
      <c r="F811" s="11"/>
      <c r="G811" s="11"/>
      <c r="H811" s="11"/>
      <c r="I811" s="11"/>
      <c r="J811" s="11"/>
      <c r="K811" s="11"/>
      <c r="L811" s="15"/>
      <c r="M811" s="15"/>
      <c r="N811" s="15"/>
      <c r="O811" s="15"/>
      <c r="P811" s="15"/>
      <c r="Q811" s="11"/>
      <c r="R811" s="11"/>
      <c r="S811" s="11"/>
      <c r="T811" s="11"/>
      <c r="U811" s="15"/>
      <c r="V811" s="11"/>
      <c r="W811" s="11"/>
      <c r="X811" s="11"/>
      <c r="Y811" s="11"/>
      <c r="Z811" s="11"/>
    </row>
    <row r="812">
      <c r="A812" s="18"/>
      <c r="B812" s="11"/>
      <c r="C812" s="11"/>
      <c r="D812" s="11"/>
      <c r="E812" s="11"/>
      <c r="F812" s="11"/>
      <c r="G812" s="11"/>
      <c r="H812" s="11"/>
      <c r="I812" s="11"/>
      <c r="J812" s="11"/>
      <c r="K812" s="11"/>
      <c r="L812" s="15"/>
      <c r="M812" s="15"/>
      <c r="N812" s="15"/>
      <c r="O812" s="15"/>
      <c r="P812" s="15"/>
      <c r="Q812" s="11"/>
      <c r="R812" s="11"/>
      <c r="S812" s="11"/>
      <c r="T812" s="11"/>
      <c r="U812" s="15"/>
      <c r="V812" s="11"/>
      <c r="W812" s="11"/>
      <c r="X812" s="11"/>
      <c r="Y812" s="11"/>
      <c r="Z812" s="11"/>
    </row>
    <row r="813">
      <c r="A813" s="18"/>
      <c r="B813" s="11"/>
      <c r="C813" s="11"/>
      <c r="D813" s="11"/>
      <c r="E813" s="11"/>
      <c r="F813" s="11"/>
      <c r="G813" s="11"/>
      <c r="H813" s="11"/>
      <c r="I813" s="11"/>
      <c r="J813" s="11"/>
      <c r="K813" s="11"/>
      <c r="L813" s="15"/>
      <c r="M813" s="15"/>
      <c r="N813" s="15"/>
      <c r="O813" s="15"/>
      <c r="P813" s="15"/>
      <c r="Q813" s="11"/>
      <c r="R813" s="11"/>
      <c r="S813" s="11"/>
      <c r="T813" s="11"/>
      <c r="U813" s="15"/>
      <c r="V813" s="11"/>
      <c r="W813" s="11"/>
      <c r="X813" s="11"/>
      <c r="Y813" s="11"/>
      <c r="Z813" s="11"/>
    </row>
    <row r="814">
      <c r="A814" s="18"/>
      <c r="B814" s="11"/>
      <c r="C814" s="11"/>
      <c r="D814" s="11"/>
      <c r="E814" s="11"/>
      <c r="F814" s="11"/>
      <c r="G814" s="11"/>
      <c r="H814" s="11"/>
      <c r="I814" s="11"/>
      <c r="J814" s="11"/>
      <c r="K814" s="11"/>
      <c r="L814" s="15"/>
      <c r="M814" s="15"/>
      <c r="N814" s="15"/>
      <c r="O814" s="15"/>
      <c r="P814" s="15"/>
      <c r="Q814" s="11"/>
      <c r="R814" s="11"/>
      <c r="S814" s="11"/>
      <c r="T814" s="11"/>
      <c r="U814" s="15"/>
      <c r="V814" s="11"/>
      <c r="W814" s="11"/>
      <c r="X814" s="11"/>
      <c r="Y814" s="11"/>
      <c r="Z814" s="11"/>
    </row>
    <row r="815">
      <c r="A815" s="18"/>
      <c r="B815" s="11"/>
      <c r="C815" s="11"/>
      <c r="D815" s="11"/>
      <c r="E815" s="11"/>
      <c r="F815" s="11"/>
      <c r="G815" s="11"/>
      <c r="H815" s="11"/>
      <c r="I815" s="11"/>
      <c r="J815" s="11"/>
      <c r="K815" s="11"/>
      <c r="L815" s="15"/>
      <c r="M815" s="15"/>
      <c r="N815" s="15"/>
      <c r="O815" s="15"/>
      <c r="P815" s="15"/>
      <c r="Q815" s="11"/>
      <c r="R815" s="11"/>
      <c r="S815" s="11"/>
      <c r="T815" s="11"/>
      <c r="U815" s="15"/>
      <c r="V815" s="11"/>
      <c r="W815" s="11"/>
      <c r="X815" s="11"/>
      <c r="Y815" s="11"/>
      <c r="Z815" s="11"/>
    </row>
    <row r="816">
      <c r="A816" s="18"/>
      <c r="B816" s="11"/>
      <c r="C816" s="11"/>
      <c r="D816" s="11"/>
      <c r="E816" s="11"/>
      <c r="F816" s="11"/>
      <c r="G816" s="11"/>
      <c r="H816" s="11"/>
      <c r="I816" s="11"/>
      <c r="J816" s="11"/>
      <c r="K816" s="11"/>
      <c r="L816" s="15"/>
      <c r="M816" s="15"/>
      <c r="N816" s="15"/>
      <c r="O816" s="15"/>
      <c r="P816" s="15"/>
      <c r="Q816" s="11"/>
      <c r="R816" s="11"/>
      <c r="S816" s="11"/>
      <c r="T816" s="11"/>
      <c r="U816" s="15"/>
      <c r="V816" s="11"/>
      <c r="W816" s="11"/>
      <c r="X816" s="11"/>
      <c r="Y816" s="11"/>
      <c r="Z816" s="11"/>
    </row>
    <row r="817">
      <c r="A817" s="18"/>
      <c r="B817" s="11"/>
      <c r="C817" s="11"/>
      <c r="D817" s="11"/>
      <c r="E817" s="11"/>
      <c r="F817" s="11"/>
      <c r="G817" s="11"/>
      <c r="H817" s="11"/>
      <c r="I817" s="11"/>
      <c r="J817" s="11"/>
      <c r="K817" s="11"/>
      <c r="L817" s="15"/>
      <c r="M817" s="15"/>
      <c r="N817" s="15"/>
      <c r="O817" s="15"/>
      <c r="P817" s="15"/>
      <c r="Q817" s="11"/>
      <c r="R817" s="11"/>
      <c r="S817" s="11"/>
      <c r="T817" s="11"/>
      <c r="U817" s="15"/>
      <c r="V817" s="11"/>
      <c r="W817" s="11"/>
      <c r="X817" s="11"/>
      <c r="Y817" s="11"/>
      <c r="Z817" s="11"/>
    </row>
    <row r="818">
      <c r="A818" s="18"/>
      <c r="B818" s="11"/>
      <c r="C818" s="11"/>
      <c r="D818" s="11"/>
      <c r="E818" s="11"/>
      <c r="F818" s="11"/>
      <c r="G818" s="11"/>
      <c r="H818" s="11"/>
      <c r="I818" s="11"/>
      <c r="J818" s="11"/>
      <c r="K818" s="11"/>
      <c r="L818" s="15"/>
      <c r="M818" s="15"/>
      <c r="N818" s="15"/>
      <c r="O818" s="15"/>
      <c r="P818" s="15"/>
      <c r="Q818" s="11"/>
      <c r="R818" s="11"/>
      <c r="S818" s="11"/>
      <c r="T818" s="11"/>
      <c r="U818" s="15"/>
      <c r="V818" s="11"/>
      <c r="W818" s="11"/>
      <c r="X818" s="11"/>
      <c r="Y818" s="11"/>
      <c r="Z818" s="11"/>
    </row>
    <row r="819">
      <c r="A819" s="18"/>
      <c r="B819" s="11"/>
      <c r="C819" s="11"/>
      <c r="D819" s="11"/>
      <c r="E819" s="11"/>
      <c r="F819" s="11"/>
      <c r="G819" s="11"/>
      <c r="H819" s="11"/>
      <c r="I819" s="11"/>
      <c r="J819" s="11"/>
      <c r="K819" s="11"/>
      <c r="L819" s="15"/>
      <c r="M819" s="15"/>
      <c r="N819" s="15"/>
      <c r="O819" s="15"/>
      <c r="P819" s="15"/>
      <c r="Q819" s="11"/>
      <c r="R819" s="11"/>
      <c r="S819" s="11"/>
      <c r="T819" s="11"/>
      <c r="U819" s="15"/>
      <c r="V819" s="11"/>
      <c r="W819" s="11"/>
      <c r="X819" s="11"/>
      <c r="Y819" s="11"/>
      <c r="Z819" s="11"/>
    </row>
    <row r="820">
      <c r="A820" s="18"/>
      <c r="B820" s="11"/>
      <c r="C820" s="11"/>
      <c r="D820" s="11"/>
      <c r="E820" s="11"/>
      <c r="F820" s="11"/>
      <c r="G820" s="11"/>
      <c r="H820" s="11"/>
      <c r="I820" s="11"/>
      <c r="J820" s="11"/>
      <c r="K820" s="11"/>
      <c r="L820" s="15"/>
      <c r="M820" s="15"/>
      <c r="N820" s="15"/>
      <c r="O820" s="15"/>
      <c r="P820" s="15"/>
      <c r="Q820" s="11"/>
      <c r="R820" s="11"/>
      <c r="S820" s="11"/>
      <c r="T820" s="11"/>
      <c r="U820" s="15"/>
      <c r="V820" s="11"/>
      <c r="W820" s="11"/>
      <c r="X820" s="11"/>
      <c r="Y820" s="11"/>
      <c r="Z820" s="11"/>
    </row>
    <row r="821">
      <c r="A821" s="18"/>
      <c r="B821" s="11"/>
      <c r="C821" s="11"/>
      <c r="D821" s="11"/>
      <c r="E821" s="11"/>
      <c r="F821" s="11"/>
      <c r="G821" s="11"/>
      <c r="H821" s="11"/>
      <c r="I821" s="11"/>
      <c r="J821" s="11"/>
      <c r="K821" s="11"/>
      <c r="L821" s="15"/>
      <c r="M821" s="15"/>
      <c r="N821" s="15"/>
      <c r="O821" s="15"/>
      <c r="P821" s="15"/>
      <c r="Q821" s="11"/>
      <c r="R821" s="11"/>
      <c r="S821" s="11"/>
      <c r="T821" s="11"/>
      <c r="U821" s="15"/>
      <c r="V821" s="11"/>
      <c r="W821" s="11"/>
      <c r="X821" s="11"/>
      <c r="Y821" s="11"/>
      <c r="Z821" s="11"/>
    </row>
    <row r="822">
      <c r="A822" s="18"/>
      <c r="B822" s="11"/>
      <c r="C822" s="11"/>
      <c r="D822" s="11"/>
      <c r="E822" s="11"/>
      <c r="F822" s="11"/>
      <c r="G822" s="11"/>
      <c r="H822" s="11"/>
      <c r="I822" s="11"/>
      <c r="J822" s="11"/>
      <c r="K822" s="11"/>
      <c r="L822" s="15"/>
      <c r="M822" s="15"/>
      <c r="N822" s="15"/>
      <c r="O822" s="15"/>
      <c r="P822" s="15"/>
      <c r="Q822" s="11"/>
      <c r="R822" s="11"/>
      <c r="S822" s="11"/>
      <c r="T822" s="11"/>
      <c r="U822" s="15"/>
      <c r="V822" s="11"/>
      <c r="W822" s="11"/>
      <c r="X822" s="11"/>
      <c r="Y822" s="11"/>
      <c r="Z822" s="11"/>
    </row>
    <row r="823">
      <c r="A823" s="18"/>
      <c r="B823" s="11"/>
      <c r="C823" s="11"/>
      <c r="D823" s="11"/>
      <c r="E823" s="11"/>
      <c r="F823" s="11"/>
      <c r="G823" s="11"/>
      <c r="H823" s="11"/>
      <c r="I823" s="11"/>
      <c r="J823" s="11"/>
      <c r="K823" s="11"/>
      <c r="L823" s="15"/>
      <c r="M823" s="15"/>
      <c r="N823" s="15"/>
      <c r="O823" s="15"/>
      <c r="P823" s="15"/>
      <c r="Q823" s="11"/>
      <c r="R823" s="11"/>
      <c r="S823" s="11"/>
      <c r="T823" s="11"/>
      <c r="U823" s="15"/>
      <c r="V823" s="11"/>
      <c r="W823" s="11"/>
      <c r="X823" s="11"/>
      <c r="Y823" s="11"/>
      <c r="Z823" s="11"/>
    </row>
    <row r="824">
      <c r="A824" s="18"/>
      <c r="B824" s="11"/>
      <c r="C824" s="11"/>
      <c r="D824" s="11"/>
      <c r="E824" s="11"/>
      <c r="F824" s="11"/>
      <c r="G824" s="11"/>
      <c r="H824" s="11"/>
      <c r="I824" s="11"/>
      <c r="J824" s="11"/>
      <c r="K824" s="11"/>
      <c r="L824" s="15"/>
      <c r="M824" s="15"/>
      <c r="N824" s="15"/>
      <c r="O824" s="15"/>
      <c r="P824" s="15"/>
      <c r="Q824" s="11"/>
      <c r="R824" s="11"/>
      <c r="S824" s="11"/>
      <c r="T824" s="11"/>
      <c r="U824" s="15"/>
      <c r="V824" s="11"/>
      <c r="W824" s="11"/>
      <c r="X824" s="11"/>
      <c r="Y824" s="11"/>
      <c r="Z824" s="11"/>
    </row>
    <row r="825">
      <c r="A825" s="18"/>
      <c r="B825" s="11"/>
      <c r="C825" s="11"/>
      <c r="D825" s="11"/>
      <c r="E825" s="11"/>
      <c r="F825" s="11"/>
      <c r="G825" s="11"/>
      <c r="H825" s="11"/>
      <c r="I825" s="11"/>
      <c r="J825" s="11"/>
      <c r="K825" s="11"/>
      <c r="L825" s="15"/>
      <c r="M825" s="15"/>
      <c r="N825" s="15"/>
      <c r="O825" s="15"/>
      <c r="P825" s="15"/>
      <c r="Q825" s="11"/>
      <c r="R825" s="11"/>
      <c r="S825" s="11"/>
      <c r="T825" s="11"/>
      <c r="U825" s="15"/>
      <c r="V825" s="11"/>
      <c r="W825" s="11"/>
      <c r="X825" s="11"/>
      <c r="Y825" s="11"/>
      <c r="Z825" s="11"/>
    </row>
    <row r="826">
      <c r="A826" s="18"/>
      <c r="B826" s="11"/>
      <c r="C826" s="11"/>
      <c r="D826" s="11"/>
      <c r="E826" s="11"/>
      <c r="F826" s="11"/>
      <c r="G826" s="11"/>
      <c r="H826" s="11"/>
      <c r="I826" s="11"/>
      <c r="J826" s="11"/>
      <c r="K826" s="11"/>
      <c r="L826" s="15"/>
      <c r="M826" s="15"/>
      <c r="N826" s="15"/>
      <c r="O826" s="15"/>
      <c r="P826" s="15"/>
      <c r="Q826" s="11"/>
      <c r="R826" s="11"/>
      <c r="S826" s="11"/>
      <c r="T826" s="11"/>
      <c r="U826" s="15"/>
      <c r="V826" s="11"/>
      <c r="W826" s="11"/>
      <c r="X826" s="11"/>
      <c r="Y826" s="11"/>
      <c r="Z826" s="11"/>
    </row>
    <row r="827">
      <c r="A827" s="18"/>
      <c r="B827" s="11"/>
      <c r="C827" s="11"/>
      <c r="D827" s="11"/>
      <c r="E827" s="11"/>
      <c r="F827" s="11"/>
      <c r="G827" s="11"/>
      <c r="H827" s="11"/>
      <c r="I827" s="11"/>
      <c r="J827" s="11"/>
      <c r="K827" s="11"/>
      <c r="L827" s="15"/>
      <c r="M827" s="15"/>
      <c r="N827" s="15"/>
      <c r="O827" s="15"/>
      <c r="P827" s="15"/>
      <c r="Q827" s="11"/>
      <c r="R827" s="11"/>
      <c r="S827" s="11"/>
      <c r="T827" s="11"/>
      <c r="U827" s="15"/>
      <c r="V827" s="11"/>
      <c r="W827" s="11"/>
      <c r="X827" s="11"/>
      <c r="Y827" s="11"/>
      <c r="Z827" s="11"/>
    </row>
    <row r="828">
      <c r="A828" s="18"/>
      <c r="B828" s="11"/>
      <c r="C828" s="11"/>
      <c r="D828" s="11"/>
      <c r="E828" s="11"/>
      <c r="F828" s="11"/>
      <c r="G828" s="11"/>
      <c r="H828" s="11"/>
      <c r="I828" s="11"/>
      <c r="J828" s="11"/>
      <c r="K828" s="11"/>
      <c r="L828" s="15"/>
      <c r="M828" s="15"/>
      <c r="N828" s="15"/>
      <c r="O828" s="15"/>
      <c r="P828" s="15"/>
      <c r="Q828" s="11"/>
      <c r="R828" s="11"/>
      <c r="S828" s="11"/>
      <c r="T828" s="11"/>
      <c r="U828" s="15"/>
      <c r="V828" s="11"/>
      <c r="W828" s="11"/>
      <c r="X828" s="11"/>
      <c r="Y828" s="11"/>
      <c r="Z828" s="11"/>
    </row>
    <row r="829">
      <c r="A829" s="18"/>
      <c r="B829" s="11"/>
      <c r="C829" s="11"/>
      <c r="D829" s="11"/>
      <c r="E829" s="11"/>
      <c r="F829" s="11"/>
      <c r="G829" s="11"/>
      <c r="H829" s="11"/>
      <c r="I829" s="11"/>
      <c r="J829" s="11"/>
      <c r="K829" s="11"/>
      <c r="L829" s="15"/>
      <c r="M829" s="15"/>
      <c r="N829" s="15"/>
      <c r="O829" s="15"/>
      <c r="P829" s="15"/>
      <c r="Q829" s="11"/>
      <c r="R829" s="11"/>
      <c r="S829" s="11"/>
      <c r="T829" s="11"/>
      <c r="U829" s="15"/>
      <c r="V829" s="11"/>
      <c r="W829" s="11"/>
      <c r="X829" s="11"/>
      <c r="Y829" s="11"/>
      <c r="Z829" s="11"/>
    </row>
    <row r="830">
      <c r="A830" s="18"/>
      <c r="B830" s="11"/>
      <c r="C830" s="11"/>
      <c r="D830" s="11"/>
      <c r="E830" s="11"/>
      <c r="F830" s="11"/>
      <c r="G830" s="11"/>
      <c r="H830" s="11"/>
      <c r="I830" s="11"/>
      <c r="J830" s="11"/>
      <c r="K830" s="11"/>
      <c r="L830" s="15"/>
      <c r="M830" s="15"/>
      <c r="N830" s="15"/>
      <c r="O830" s="15"/>
      <c r="P830" s="15"/>
      <c r="Q830" s="11"/>
      <c r="R830" s="11"/>
      <c r="S830" s="11"/>
      <c r="T830" s="11"/>
      <c r="U830" s="15"/>
      <c r="V830" s="11"/>
      <c r="W830" s="11"/>
      <c r="X830" s="11"/>
      <c r="Y830" s="11"/>
      <c r="Z830" s="11"/>
    </row>
    <row r="831">
      <c r="A831" s="18"/>
      <c r="B831" s="11"/>
      <c r="C831" s="11"/>
      <c r="D831" s="11"/>
      <c r="E831" s="11"/>
      <c r="F831" s="11"/>
      <c r="G831" s="11"/>
      <c r="H831" s="11"/>
      <c r="I831" s="11"/>
      <c r="J831" s="11"/>
      <c r="K831" s="11"/>
      <c r="L831" s="15"/>
      <c r="M831" s="15"/>
      <c r="N831" s="15"/>
      <c r="O831" s="15"/>
      <c r="P831" s="15"/>
      <c r="Q831" s="11"/>
      <c r="R831" s="11"/>
      <c r="S831" s="11"/>
      <c r="T831" s="11"/>
      <c r="U831" s="15"/>
      <c r="V831" s="11"/>
      <c r="W831" s="11"/>
      <c r="X831" s="11"/>
      <c r="Y831" s="11"/>
      <c r="Z831" s="11"/>
    </row>
    <row r="832">
      <c r="A832" s="18"/>
      <c r="B832" s="11"/>
      <c r="C832" s="11"/>
      <c r="D832" s="11"/>
      <c r="E832" s="11"/>
      <c r="F832" s="11"/>
      <c r="G832" s="11"/>
      <c r="H832" s="11"/>
      <c r="I832" s="11"/>
      <c r="J832" s="11"/>
      <c r="K832" s="11"/>
      <c r="L832" s="15"/>
      <c r="M832" s="15"/>
      <c r="N832" s="15"/>
      <c r="O832" s="15"/>
      <c r="P832" s="15"/>
      <c r="Q832" s="11"/>
      <c r="R832" s="11"/>
      <c r="S832" s="11"/>
      <c r="T832" s="11"/>
      <c r="U832" s="15"/>
      <c r="V832" s="11"/>
      <c r="W832" s="11"/>
      <c r="X832" s="11"/>
      <c r="Y832" s="11"/>
      <c r="Z832" s="11"/>
    </row>
    <row r="833">
      <c r="A833" s="18"/>
      <c r="B833" s="11"/>
      <c r="C833" s="11"/>
      <c r="D833" s="11"/>
      <c r="E833" s="11"/>
      <c r="F833" s="11"/>
      <c r="G833" s="11"/>
      <c r="H833" s="11"/>
      <c r="I833" s="11"/>
      <c r="J833" s="11"/>
      <c r="K833" s="11"/>
      <c r="L833" s="15"/>
      <c r="M833" s="15"/>
      <c r="N833" s="15"/>
      <c r="O833" s="15"/>
      <c r="P833" s="15"/>
      <c r="Q833" s="11"/>
      <c r="R833" s="11"/>
      <c r="S833" s="11"/>
      <c r="T833" s="11"/>
      <c r="U833" s="15"/>
      <c r="V833" s="11"/>
      <c r="W833" s="11"/>
      <c r="X833" s="11"/>
      <c r="Y833" s="11"/>
      <c r="Z833" s="11"/>
    </row>
    <row r="834">
      <c r="A834" s="18"/>
      <c r="B834" s="11"/>
      <c r="C834" s="11"/>
      <c r="D834" s="11"/>
      <c r="E834" s="11"/>
      <c r="F834" s="11"/>
      <c r="G834" s="11"/>
      <c r="H834" s="11"/>
      <c r="I834" s="11"/>
      <c r="J834" s="11"/>
      <c r="K834" s="11"/>
      <c r="L834" s="15"/>
      <c r="M834" s="15"/>
      <c r="N834" s="15"/>
      <c r="O834" s="15"/>
      <c r="P834" s="15"/>
      <c r="Q834" s="11"/>
      <c r="R834" s="11"/>
      <c r="S834" s="11"/>
      <c r="T834" s="11"/>
      <c r="U834" s="15"/>
      <c r="V834" s="11"/>
      <c r="W834" s="11"/>
      <c r="X834" s="11"/>
      <c r="Y834" s="11"/>
      <c r="Z834" s="11"/>
    </row>
    <row r="835">
      <c r="A835" s="18"/>
      <c r="B835" s="11"/>
      <c r="C835" s="11"/>
      <c r="D835" s="11"/>
      <c r="E835" s="11"/>
      <c r="F835" s="11"/>
      <c r="G835" s="11"/>
      <c r="H835" s="11"/>
      <c r="I835" s="11"/>
      <c r="J835" s="11"/>
      <c r="K835" s="11"/>
      <c r="L835" s="15"/>
      <c r="M835" s="15"/>
      <c r="N835" s="15"/>
      <c r="O835" s="15"/>
      <c r="P835" s="15"/>
      <c r="Q835" s="11"/>
      <c r="R835" s="11"/>
      <c r="S835" s="11"/>
      <c r="T835" s="11"/>
      <c r="U835" s="15"/>
      <c r="V835" s="11"/>
      <c r="W835" s="11"/>
      <c r="X835" s="11"/>
      <c r="Y835" s="11"/>
      <c r="Z835" s="11"/>
    </row>
    <row r="836">
      <c r="A836" s="18"/>
      <c r="B836" s="11"/>
      <c r="C836" s="11"/>
      <c r="D836" s="11"/>
      <c r="E836" s="11"/>
      <c r="F836" s="11"/>
      <c r="G836" s="11"/>
      <c r="H836" s="11"/>
      <c r="I836" s="11"/>
      <c r="J836" s="11"/>
      <c r="K836" s="11"/>
      <c r="L836" s="15"/>
      <c r="M836" s="15"/>
      <c r="N836" s="15"/>
      <c r="O836" s="15"/>
      <c r="P836" s="15"/>
      <c r="Q836" s="11"/>
      <c r="R836" s="11"/>
      <c r="S836" s="11"/>
      <c r="T836" s="11"/>
      <c r="U836" s="15"/>
      <c r="V836" s="11"/>
      <c r="W836" s="11"/>
      <c r="X836" s="11"/>
      <c r="Y836" s="11"/>
      <c r="Z836" s="11"/>
    </row>
    <row r="837">
      <c r="A837" s="18"/>
      <c r="B837" s="11"/>
      <c r="C837" s="11"/>
      <c r="D837" s="11"/>
      <c r="E837" s="11"/>
      <c r="F837" s="11"/>
      <c r="G837" s="11"/>
      <c r="H837" s="11"/>
      <c r="I837" s="11"/>
      <c r="J837" s="11"/>
      <c r="K837" s="11"/>
      <c r="L837" s="15"/>
      <c r="M837" s="15"/>
      <c r="N837" s="15"/>
      <c r="O837" s="15"/>
      <c r="P837" s="15"/>
      <c r="Q837" s="11"/>
      <c r="R837" s="11"/>
      <c r="S837" s="11"/>
      <c r="T837" s="11"/>
      <c r="U837" s="15"/>
      <c r="V837" s="11"/>
      <c r="W837" s="11"/>
      <c r="X837" s="11"/>
      <c r="Y837" s="11"/>
      <c r="Z837" s="11"/>
    </row>
    <row r="838">
      <c r="A838" s="18"/>
      <c r="B838" s="11"/>
      <c r="C838" s="11"/>
      <c r="D838" s="11"/>
      <c r="E838" s="11"/>
      <c r="F838" s="11"/>
      <c r="G838" s="11"/>
      <c r="H838" s="11"/>
      <c r="I838" s="11"/>
      <c r="J838" s="11"/>
      <c r="K838" s="11"/>
      <c r="L838" s="15"/>
      <c r="M838" s="15"/>
      <c r="N838" s="15"/>
      <c r="O838" s="15"/>
      <c r="P838" s="15"/>
      <c r="Q838" s="11"/>
      <c r="R838" s="11"/>
      <c r="S838" s="11"/>
      <c r="T838" s="11"/>
      <c r="U838" s="15"/>
      <c r="V838" s="11"/>
      <c r="W838" s="11"/>
      <c r="X838" s="11"/>
      <c r="Y838" s="11"/>
      <c r="Z838" s="11"/>
    </row>
    <row r="839">
      <c r="A839" s="18"/>
      <c r="B839" s="11"/>
      <c r="C839" s="11"/>
      <c r="D839" s="11"/>
      <c r="E839" s="11"/>
      <c r="F839" s="11"/>
      <c r="G839" s="11"/>
      <c r="H839" s="11"/>
      <c r="I839" s="11"/>
      <c r="J839" s="11"/>
      <c r="K839" s="11"/>
      <c r="L839" s="15"/>
      <c r="M839" s="15"/>
      <c r="N839" s="15"/>
      <c r="O839" s="15"/>
      <c r="P839" s="15"/>
      <c r="Q839" s="11"/>
      <c r="R839" s="11"/>
      <c r="S839" s="11"/>
      <c r="T839" s="11"/>
      <c r="U839" s="15"/>
      <c r="V839" s="11"/>
      <c r="W839" s="11"/>
      <c r="X839" s="11"/>
      <c r="Y839" s="11"/>
      <c r="Z839" s="11"/>
    </row>
    <row r="840">
      <c r="A840" s="18"/>
      <c r="B840" s="11"/>
      <c r="C840" s="11"/>
      <c r="D840" s="11"/>
      <c r="E840" s="11"/>
      <c r="F840" s="11"/>
      <c r="G840" s="11"/>
      <c r="H840" s="11"/>
      <c r="I840" s="11"/>
      <c r="J840" s="11"/>
      <c r="K840" s="11"/>
      <c r="L840" s="15"/>
      <c r="M840" s="15"/>
      <c r="N840" s="15"/>
      <c r="O840" s="15"/>
      <c r="P840" s="15"/>
      <c r="Q840" s="11"/>
      <c r="R840" s="11"/>
      <c r="S840" s="11"/>
      <c r="T840" s="11"/>
      <c r="U840" s="15"/>
      <c r="V840" s="11"/>
      <c r="W840" s="11"/>
      <c r="X840" s="11"/>
      <c r="Y840" s="11"/>
      <c r="Z840" s="11"/>
    </row>
    <row r="841">
      <c r="A841" s="18"/>
      <c r="B841" s="11"/>
      <c r="C841" s="11"/>
      <c r="D841" s="11"/>
      <c r="E841" s="11"/>
      <c r="F841" s="11"/>
      <c r="G841" s="11"/>
      <c r="H841" s="11"/>
      <c r="I841" s="11"/>
      <c r="J841" s="11"/>
      <c r="K841" s="11"/>
      <c r="L841" s="15"/>
      <c r="M841" s="15"/>
      <c r="N841" s="15"/>
      <c r="O841" s="15"/>
      <c r="P841" s="15"/>
      <c r="Q841" s="11"/>
      <c r="R841" s="11"/>
      <c r="S841" s="11"/>
      <c r="T841" s="11"/>
      <c r="U841" s="15"/>
      <c r="V841" s="11"/>
      <c r="W841" s="11"/>
      <c r="X841" s="11"/>
      <c r="Y841" s="11"/>
      <c r="Z841" s="11"/>
    </row>
    <row r="842">
      <c r="A842" s="18"/>
      <c r="B842" s="11"/>
      <c r="C842" s="11"/>
      <c r="D842" s="11"/>
      <c r="E842" s="11"/>
      <c r="F842" s="11"/>
      <c r="G842" s="11"/>
      <c r="H842" s="11"/>
      <c r="I842" s="11"/>
      <c r="J842" s="11"/>
      <c r="K842" s="11"/>
      <c r="L842" s="15"/>
      <c r="M842" s="15"/>
      <c r="N842" s="15"/>
      <c r="O842" s="15"/>
      <c r="P842" s="15"/>
      <c r="Q842" s="11"/>
      <c r="R842" s="11"/>
      <c r="S842" s="11"/>
      <c r="T842" s="11"/>
      <c r="U842" s="15"/>
      <c r="V842" s="11"/>
      <c r="W842" s="11"/>
      <c r="X842" s="11"/>
      <c r="Y842" s="11"/>
      <c r="Z842" s="11"/>
    </row>
    <row r="843">
      <c r="A843" s="18"/>
      <c r="B843" s="11"/>
      <c r="C843" s="11"/>
      <c r="D843" s="11"/>
      <c r="E843" s="11"/>
      <c r="F843" s="11"/>
      <c r="G843" s="11"/>
      <c r="H843" s="11"/>
      <c r="I843" s="11"/>
      <c r="J843" s="11"/>
      <c r="K843" s="11"/>
      <c r="L843" s="15"/>
      <c r="M843" s="15"/>
      <c r="N843" s="15"/>
      <c r="O843" s="15"/>
      <c r="P843" s="15"/>
      <c r="Q843" s="11"/>
      <c r="R843" s="11"/>
      <c r="S843" s="11"/>
      <c r="T843" s="11"/>
      <c r="U843" s="15"/>
      <c r="V843" s="11"/>
      <c r="W843" s="11"/>
      <c r="X843" s="11"/>
      <c r="Y843" s="11"/>
      <c r="Z843" s="11"/>
    </row>
    <row r="844">
      <c r="A844" s="18"/>
      <c r="B844" s="11"/>
      <c r="C844" s="11"/>
      <c r="D844" s="11"/>
      <c r="E844" s="11"/>
      <c r="F844" s="11"/>
      <c r="G844" s="11"/>
      <c r="H844" s="11"/>
      <c r="I844" s="11"/>
      <c r="J844" s="11"/>
      <c r="K844" s="11"/>
      <c r="L844" s="15"/>
      <c r="M844" s="15"/>
      <c r="N844" s="15"/>
      <c r="O844" s="15"/>
      <c r="P844" s="15"/>
      <c r="Q844" s="11"/>
      <c r="R844" s="11"/>
      <c r="S844" s="11"/>
      <c r="T844" s="11"/>
      <c r="U844" s="15"/>
      <c r="V844" s="11"/>
      <c r="W844" s="11"/>
      <c r="X844" s="11"/>
      <c r="Y844" s="11"/>
      <c r="Z844" s="11"/>
    </row>
    <row r="845">
      <c r="A845" s="18"/>
      <c r="B845" s="11"/>
      <c r="C845" s="11"/>
      <c r="D845" s="11"/>
      <c r="E845" s="11"/>
      <c r="F845" s="11"/>
      <c r="G845" s="11"/>
      <c r="H845" s="11"/>
      <c r="I845" s="11"/>
      <c r="J845" s="11"/>
      <c r="K845" s="11"/>
      <c r="L845" s="15"/>
      <c r="M845" s="15"/>
      <c r="N845" s="15"/>
      <c r="O845" s="15"/>
      <c r="P845" s="15"/>
      <c r="Q845" s="11"/>
      <c r="R845" s="11"/>
      <c r="S845" s="11"/>
      <c r="T845" s="11"/>
      <c r="U845" s="15"/>
      <c r="V845" s="11"/>
      <c r="W845" s="11"/>
      <c r="X845" s="11"/>
      <c r="Y845" s="11"/>
      <c r="Z845" s="11"/>
    </row>
    <row r="846">
      <c r="A846" s="18"/>
      <c r="B846" s="11"/>
      <c r="C846" s="11"/>
      <c r="D846" s="11"/>
      <c r="E846" s="11"/>
      <c r="F846" s="11"/>
      <c r="G846" s="11"/>
      <c r="H846" s="11"/>
      <c r="I846" s="11"/>
      <c r="J846" s="11"/>
      <c r="K846" s="11"/>
      <c r="L846" s="15"/>
      <c r="M846" s="15"/>
      <c r="N846" s="15"/>
      <c r="O846" s="15"/>
      <c r="P846" s="15"/>
      <c r="Q846" s="11"/>
      <c r="R846" s="11"/>
      <c r="S846" s="11"/>
      <c r="T846" s="11"/>
      <c r="U846" s="15"/>
      <c r="V846" s="11"/>
      <c r="W846" s="11"/>
      <c r="X846" s="11"/>
      <c r="Y846" s="11"/>
      <c r="Z846" s="11"/>
    </row>
    <row r="847">
      <c r="A847" s="18"/>
      <c r="B847" s="11"/>
      <c r="C847" s="11"/>
      <c r="D847" s="11"/>
      <c r="E847" s="11"/>
      <c r="F847" s="11"/>
      <c r="G847" s="11"/>
      <c r="H847" s="11"/>
      <c r="I847" s="11"/>
      <c r="J847" s="11"/>
      <c r="K847" s="11"/>
      <c r="L847" s="15"/>
      <c r="M847" s="15"/>
      <c r="N847" s="15"/>
      <c r="O847" s="15"/>
      <c r="P847" s="15"/>
      <c r="Q847" s="11"/>
      <c r="R847" s="11"/>
      <c r="S847" s="11"/>
      <c r="T847" s="11"/>
      <c r="U847" s="15"/>
      <c r="V847" s="11"/>
      <c r="W847" s="11"/>
      <c r="X847" s="11"/>
      <c r="Y847" s="11"/>
      <c r="Z847" s="11"/>
    </row>
    <row r="848">
      <c r="A848" s="18"/>
      <c r="B848" s="11"/>
      <c r="C848" s="11"/>
      <c r="D848" s="11"/>
      <c r="E848" s="11"/>
      <c r="F848" s="11"/>
      <c r="G848" s="11"/>
      <c r="H848" s="11"/>
      <c r="I848" s="11"/>
      <c r="J848" s="11"/>
      <c r="K848" s="11"/>
      <c r="L848" s="15"/>
      <c r="M848" s="15"/>
      <c r="N848" s="15"/>
      <c r="O848" s="15"/>
      <c r="P848" s="15"/>
      <c r="Q848" s="11"/>
      <c r="R848" s="11"/>
      <c r="S848" s="11"/>
      <c r="T848" s="11"/>
      <c r="U848" s="15"/>
      <c r="V848" s="11"/>
      <c r="W848" s="11"/>
      <c r="X848" s="11"/>
      <c r="Y848" s="11"/>
      <c r="Z848" s="11"/>
    </row>
    <row r="849">
      <c r="A849" s="18"/>
      <c r="B849" s="11"/>
      <c r="C849" s="11"/>
      <c r="D849" s="11"/>
      <c r="E849" s="11"/>
      <c r="F849" s="11"/>
      <c r="G849" s="11"/>
      <c r="H849" s="11"/>
      <c r="I849" s="11"/>
      <c r="J849" s="11"/>
      <c r="K849" s="11"/>
      <c r="L849" s="15"/>
      <c r="M849" s="15"/>
      <c r="N849" s="15"/>
      <c r="O849" s="15"/>
      <c r="P849" s="15"/>
      <c r="Q849" s="11"/>
      <c r="R849" s="11"/>
      <c r="S849" s="11"/>
      <c r="T849" s="11"/>
      <c r="U849" s="15"/>
      <c r="V849" s="11"/>
      <c r="W849" s="11"/>
      <c r="X849" s="11"/>
      <c r="Y849" s="11"/>
      <c r="Z849" s="11"/>
    </row>
    <row r="850">
      <c r="A850" s="18"/>
      <c r="B850" s="11"/>
      <c r="C850" s="11"/>
      <c r="D850" s="11"/>
      <c r="E850" s="11"/>
      <c r="F850" s="11"/>
      <c r="G850" s="11"/>
      <c r="H850" s="11"/>
      <c r="I850" s="11"/>
      <c r="J850" s="11"/>
      <c r="K850" s="11"/>
      <c r="L850" s="15"/>
      <c r="M850" s="15"/>
      <c r="N850" s="15"/>
      <c r="O850" s="15"/>
      <c r="P850" s="15"/>
      <c r="Q850" s="11"/>
      <c r="R850" s="11"/>
      <c r="S850" s="11"/>
      <c r="T850" s="11"/>
      <c r="U850" s="15"/>
      <c r="V850" s="11"/>
      <c r="W850" s="11"/>
      <c r="X850" s="11"/>
      <c r="Y850" s="11"/>
      <c r="Z850" s="11"/>
    </row>
    <row r="851">
      <c r="A851" s="18"/>
      <c r="B851" s="11"/>
      <c r="C851" s="11"/>
      <c r="D851" s="11"/>
      <c r="E851" s="11"/>
      <c r="F851" s="11"/>
      <c r="G851" s="11"/>
      <c r="H851" s="11"/>
      <c r="I851" s="11"/>
      <c r="J851" s="11"/>
      <c r="K851" s="11"/>
      <c r="L851" s="15"/>
      <c r="M851" s="15"/>
      <c r="N851" s="15"/>
      <c r="O851" s="15"/>
      <c r="P851" s="15"/>
      <c r="Q851" s="11"/>
      <c r="R851" s="11"/>
      <c r="S851" s="11"/>
      <c r="T851" s="11"/>
      <c r="U851" s="15"/>
      <c r="V851" s="11"/>
      <c r="W851" s="11"/>
      <c r="X851" s="11"/>
      <c r="Y851" s="11"/>
      <c r="Z851" s="11"/>
    </row>
    <row r="852">
      <c r="A852" s="18"/>
      <c r="B852" s="11"/>
      <c r="C852" s="11"/>
      <c r="D852" s="11"/>
      <c r="E852" s="11"/>
      <c r="F852" s="11"/>
      <c r="G852" s="11"/>
      <c r="H852" s="11"/>
      <c r="I852" s="11"/>
      <c r="J852" s="11"/>
      <c r="K852" s="11"/>
      <c r="L852" s="15"/>
      <c r="M852" s="15"/>
      <c r="N852" s="15"/>
      <c r="O852" s="15"/>
      <c r="P852" s="15"/>
      <c r="Q852" s="11"/>
      <c r="R852" s="11"/>
      <c r="S852" s="11"/>
      <c r="T852" s="11"/>
      <c r="U852" s="15"/>
      <c r="V852" s="11"/>
      <c r="W852" s="11"/>
      <c r="X852" s="11"/>
      <c r="Y852" s="11"/>
      <c r="Z852" s="11"/>
    </row>
    <row r="853">
      <c r="A853" s="18"/>
      <c r="B853" s="11"/>
      <c r="C853" s="11"/>
      <c r="D853" s="11"/>
      <c r="E853" s="11"/>
      <c r="F853" s="11"/>
      <c r="G853" s="11"/>
      <c r="H853" s="11"/>
      <c r="I853" s="11"/>
      <c r="J853" s="11"/>
      <c r="K853" s="11"/>
      <c r="L853" s="15"/>
      <c r="M853" s="15"/>
      <c r="N853" s="15"/>
      <c r="O853" s="15"/>
      <c r="P853" s="15"/>
      <c r="Q853" s="11"/>
      <c r="R853" s="11"/>
      <c r="S853" s="11"/>
      <c r="T853" s="11"/>
      <c r="U853" s="15"/>
      <c r="V853" s="11"/>
      <c r="W853" s="11"/>
      <c r="X853" s="11"/>
      <c r="Y853" s="11"/>
      <c r="Z853" s="11"/>
    </row>
    <row r="854">
      <c r="A854" s="18"/>
      <c r="B854" s="11"/>
      <c r="C854" s="11"/>
      <c r="D854" s="11"/>
      <c r="E854" s="11"/>
      <c r="F854" s="11"/>
      <c r="G854" s="11"/>
      <c r="H854" s="11"/>
      <c r="I854" s="11"/>
      <c r="J854" s="11"/>
      <c r="K854" s="11"/>
      <c r="L854" s="15"/>
      <c r="M854" s="15"/>
      <c r="N854" s="15"/>
      <c r="O854" s="15"/>
      <c r="P854" s="15"/>
      <c r="Q854" s="11"/>
      <c r="R854" s="11"/>
      <c r="S854" s="11"/>
      <c r="T854" s="11"/>
      <c r="U854" s="15"/>
      <c r="V854" s="11"/>
      <c r="W854" s="11"/>
      <c r="X854" s="11"/>
      <c r="Y854" s="11"/>
      <c r="Z854" s="11"/>
    </row>
    <row r="855">
      <c r="A855" s="18"/>
      <c r="B855" s="11"/>
      <c r="C855" s="11"/>
      <c r="D855" s="11"/>
      <c r="E855" s="11"/>
      <c r="F855" s="11"/>
      <c r="G855" s="11"/>
      <c r="H855" s="11"/>
      <c r="I855" s="11"/>
      <c r="J855" s="11"/>
      <c r="K855" s="11"/>
      <c r="L855" s="15"/>
      <c r="M855" s="15"/>
      <c r="N855" s="15"/>
      <c r="O855" s="15"/>
      <c r="P855" s="15"/>
      <c r="Q855" s="11"/>
      <c r="R855" s="11"/>
      <c r="S855" s="11"/>
      <c r="T855" s="11"/>
      <c r="U855" s="15"/>
      <c r="V855" s="11"/>
      <c r="W855" s="11"/>
      <c r="X855" s="11"/>
      <c r="Y855" s="11"/>
      <c r="Z855" s="11"/>
    </row>
    <row r="856">
      <c r="A856" s="18"/>
      <c r="B856" s="11"/>
      <c r="C856" s="11"/>
      <c r="D856" s="11"/>
      <c r="E856" s="11"/>
      <c r="F856" s="11"/>
      <c r="G856" s="11"/>
      <c r="H856" s="11"/>
      <c r="I856" s="11"/>
      <c r="J856" s="11"/>
      <c r="K856" s="11"/>
      <c r="L856" s="15"/>
      <c r="M856" s="15"/>
      <c r="N856" s="15"/>
      <c r="O856" s="15"/>
      <c r="P856" s="15"/>
      <c r="Q856" s="11"/>
      <c r="R856" s="11"/>
      <c r="S856" s="11"/>
      <c r="T856" s="11"/>
      <c r="U856" s="15"/>
      <c r="V856" s="11"/>
      <c r="W856" s="11"/>
      <c r="X856" s="11"/>
      <c r="Y856" s="11"/>
      <c r="Z856" s="11"/>
    </row>
    <row r="857">
      <c r="A857" s="18"/>
      <c r="B857" s="11"/>
      <c r="C857" s="11"/>
      <c r="D857" s="11"/>
      <c r="E857" s="11"/>
      <c r="F857" s="11"/>
      <c r="G857" s="11"/>
      <c r="H857" s="11"/>
      <c r="I857" s="11"/>
      <c r="J857" s="11"/>
      <c r="K857" s="11"/>
      <c r="L857" s="15"/>
      <c r="M857" s="15"/>
      <c r="N857" s="15"/>
      <c r="O857" s="15"/>
      <c r="P857" s="15"/>
      <c r="Q857" s="11"/>
      <c r="R857" s="11"/>
      <c r="S857" s="11"/>
      <c r="T857" s="11"/>
      <c r="U857" s="15"/>
      <c r="V857" s="11"/>
      <c r="W857" s="11"/>
      <c r="X857" s="11"/>
      <c r="Y857" s="11"/>
      <c r="Z857" s="11"/>
    </row>
    <row r="858">
      <c r="A858" s="18"/>
      <c r="B858" s="11"/>
      <c r="C858" s="11"/>
      <c r="D858" s="11"/>
      <c r="E858" s="11"/>
      <c r="F858" s="11"/>
      <c r="G858" s="11"/>
      <c r="H858" s="11"/>
      <c r="I858" s="11"/>
      <c r="J858" s="11"/>
      <c r="K858" s="11"/>
      <c r="L858" s="15"/>
      <c r="M858" s="15"/>
      <c r="N858" s="15"/>
      <c r="O858" s="15"/>
      <c r="P858" s="15"/>
      <c r="Q858" s="11"/>
      <c r="R858" s="11"/>
      <c r="S858" s="11"/>
      <c r="T858" s="11"/>
      <c r="U858" s="15"/>
      <c r="V858" s="11"/>
      <c r="W858" s="11"/>
      <c r="X858" s="11"/>
      <c r="Y858" s="11"/>
      <c r="Z858" s="11"/>
    </row>
    <row r="859">
      <c r="A859" s="18"/>
      <c r="B859" s="11"/>
      <c r="C859" s="11"/>
      <c r="D859" s="11"/>
      <c r="E859" s="11"/>
      <c r="F859" s="11"/>
      <c r="G859" s="11"/>
      <c r="H859" s="11"/>
      <c r="I859" s="11"/>
      <c r="J859" s="11"/>
      <c r="K859" s="11"/>
      <c r="L859" s="15"/>
      <c r="M859" s="15"/>
      <c r="N859" s="15"/>
      <c r="O859" s="15"/>
      <c r="P859" s="15"/>
      <c r="Q859" s="11"/>
      <c r="R859" s="11"/>
      <c r="S859" s="11"/>
      <c r="T859" s="11"/>
      <c r="U859" s="15"/>
      <c r="V859" s="11"/>
      <c r="W859" s="11"/>
      <c r="X859" s="11"/>
      <c r="Y859" s="11"/>
      <c r="Z859" s="11"/>
    </row>
    <row r="860">
      <c r="A860" s="18"/>
      <c r="B860" s="11"/>
      <c r="C860" s="11"/>
      <c r="D860" s="11"/>
      <c r="E860" s="11"/>
      <c r="F860" s="11"/>
      <c r="G860" s="11"/>
      <c r="H860" s="11"/>
      <c r="I860" s="11"/>
      <c r="J860" s="11"/>
      <c r="K860" s="11"/>
      <c r="L860" s="15"/>
      <c r="M860" s="15"/>
      <c r="N860" s="15"/>
      <c r="O860" s="15"/>
      <c r="P860" s="15"/>
      <c r="Q860" s="11"/>
      <c r="R860" s="11"/>
      <c r="S860" s="11"/>
      <c r="T860" s="11"/>
      <c r="U860" s="15"/>
      <c r="V860" s="11"/>
      <c r="W860" s="11"/>
      <c r="X860" s="11"/>
      <c r="Y860" s="11"/>
      <c r="Z860" s="11"/>
    </row>
    <row r="861">
      <c r="A861" s="18"/>
      <c r="B861" s="11"/>
      <c r="C861" s="11"/>
      <c r="D861" s="11"/>
      <c r="E861" s="11"/>
      <c r="F861" s="11"/>
      <c r="G861" s="11"/>
      <c r="H861" s="11"/>
      <c r="I861" s="11"/>
      <c r="J861" s="11"/>
      <c r="K861" s="11"/>
      <c r="L861" s="15"/>
      <c r="M861" s="15"/>
      <c r="N861" s="15"/>
      <c r="O861" s="15"/>
      <c r="P861" s="15"/>
      <c r="Q861" s="11"/>
      <c r="R861" s="11"/>
      <c r="S861" s="11"/>
      <c r="T861" s="11"/>
      <c r="U861" s="15"/>
      <c r="V861" s="11"/>
      <c r="W861" s="11"/>
      <c r="X861" s="11"/>
      <c r="Y861" s="11"/>
      <c r="Z861" s="11"/>
    </row>
    <row r="862">
      <c r="A862" s="18"/>
      <c r="B862" s="11"/>
      <c r="C862" s="11"/>
      <c r="D862" s="11"/>
      <c r="E862" s="11"/>
      <c r="F862" s="11"/>
      <c r="G862" s="11"/>
      <c r="H862" s="11"/>
      <c r="I862" s="11"/>
      <c r="J862" s="11"/>
      <c r="K862" s="11"/>
      <c r="L862" s="15"/>
      <c r="M862" s="15"/>
      <c r="N862" s="15"/>
      <c r="O862" s="15"/>
      <c r="P862" s="15"/>
      <c r="Q862" s="11"/>
      <c r="R862" s="11"/>
      <c r="S862" s="11"/>
      <c r="T862" s="11"/>
      <c r="U862" s="15"/>
      <c r="V862" s="11"/>
      <c r="W862" s="11"/>
      <c r="X862" s="11"/>
      <c r="Y862" s="11"/>
      <c r="Z862" s="11"/>
    </row>
    <row r="863">
      <c r="A863" s="18"/>
      <c r="B863" s="11"/>
      <c r="C863" s="11"/>
      <c r="D863" s="11"/>
      <c r="E863" s="11"/>
      <c r="F863" s="11"/>
      <c r="G863" s="11"/>
      <c r="H863" s="11"/>
      <c r="I863" s="11"/>
      <c r="J863" s="11"/>
      <c r="K863" s="11"/>
      <c r="L863" s="15"/>
      <c r="M863" s="15"/>
      <c r="N863" s="15"/>
      <c r="O863" s="15"/>
      <c r="P863" s="15"/>
      <c r="Q863" s="11"/>
      <c r="R863" s="11"/>
      <c r="S863" s="11"/>
      <c r="T863" s="11"/>
      <c r="U863" s="15"/>
      <c r="V863" s="11"/>
      <c r="W863" s="11"/>
      <c r="X863" s="11"/>
      <c r="Y863" s="11"/>
      <c r="Z863" s="11"/>
    </row>
    <row r="864">
      <c r="A864" s="18"/>
      <c r="B864" s="11"/>
      <c r="C864" s="11"/>
      <c r="D864" s="11"/>
      <c r="E864" s="11"/>
      <c r="F864" s="11"/>
      <c r="G864" s="11"/>
      <c r="H864" s="11"/>
      <c r="I864" s="11"/>
      <c r="J864" s="11"/>
      <c r="K864" s="11"/>
      <c r="L864" s="15"/>
      <c r="M864" s="15"/>
      <c r="N864" s="15"/>
      <c r="O864" s="15"/>
      <c r="P864" s="15"/>
      <c r="Q864" s="11"/>
      <c r="R864" s="11"/>
      <c r="S864" s="11"/>
      <c r="T864" s="11"/>
      <c r="U864" s="15"/>
      <c r="V864" s="11"/>
      <c r="W864" s="11"/>
      <c r="X864" s="11"/>
      <c r="Y864" s="11"/>
      <c r="Z864" s="11"/>
    </row>
    <row r="865">
      <c r="A865" s="18"/>
      <c r="B865" s="11"/>
      <c r="C865" s="11"/>
      <c r="D865" s="11"/>
      <c r="E865" s="11"/>
      <c r="F865" s="11"/>
      <c r="G865" s="11"/>
      <c r="H865" s="11"/>
      <c r="I865" s="11"/>
      <c r="J865" s="11"/>
      <c r="K865" s="11"/>
      <c r="L865" s="15"/>
      <c r="M865" s="15"/>
      <c r="N865" s="15"/>
      <c r="O865" s="15"/>
      <c r="P865" s="15"/>
      <c r="Q865" s="11"/>
      <c r="R865" s="11"/>
      <c r="S865" s="11"/>
      <c r="T865" s="11"/>
      <c r="U865" s="15"/>
      <c r="V865" s="11"/>
      <c r="W865" s="11"/>
      <c r="X865" s="11"/>
      <c r="Y865" s="11"/>
      <c r="Z865" s="11"/>
    </row>
    <row r="866">
      <c r="A866" s="18"/>
      <c r="B866" s="11"/>
      <c r="C866" s="11"/>
      <c r="D866" s="11"/>
      <c r="E866" s="11"/>
      <c r="F866" s="11"/>
      <c r="G866" s="11"/>
      <c r="H866" s="11"/>
      <c r="I866" s="11"/>
      <c r="J866" s="11"/>
      <c r="K866" s="11"/>
      <c r="L866" s="15"/>
      <c r="M866" s="15"/>
      <c r="N866" s="15"/>
      <c r="O866" s="15"/>
      <c r="P866" s="15"/>
      <c r="Q866" s="11"/>
      <c r="R866" s="11"/>
      <c r="S866" s="11"/>
      <c r="T866" s="11"/>
      <c r="U866" s="15"/>
      <c r="V866" s="11"/>
      <c r="W866" s="11"/>
      <c r="X866" s="11"/>
      <c r="Y866" s="11"/>
      <c r="Z866" s="11"/>
    </row>
    <row r="867">
      <c r="A867" s="18"/>
      <c r="B867" s="11"/>
      <c r="C867" s="11"/>
      <c r="D867" s="11"/>
      <c r="E867" s="11"/>
      <c r="F867" s="11"/>
      <c r="G867" s="11"/>
      <c r="H867" s="11"/>
      <c r="I867" s="11"/>
      <c r="J867" s="11"/>
      <c r="K867" s="11"/>
      <c r="L867" s="15"/>
      <c r="M867" s="15"/>
      <c r="N867" s="15"/>
      <c r="O867" s="15"/>
      <c r="P867" s="15"/>
      <c r="Q867" s="11"/>
      <c r="R867" s="11"/>
      <c r="S867" s="11"/>
      <c r="T867" s="11"/>
      <c r="U867" s="15"/>
      <c r="V867" s="11"/>
      <c r="W867" s="11"/>
      <c r="X867" s="11"/>
      <c r="Y867" s="11"/>
      <c r="Z867" s="11"/>
    </row>
    <row r="868">
      <c r="A868" s="18"/>
      <c r="B868" s="11"/>
      <c r="C868" s="11"/>
      <c r="D868" s="11"/>
      <c r="E868" s="11"/>
      <c r="F868" s="11"/>
      <c r="G868" s="11"/>
      <c r="H868" s="11"/>
      <c r="I868" s="11"/>
      <c r="J868" s="11"/>
      <c r="K868" s="11"/>
      <c r="L868" s="15"/>
      <c r="M868" s="15"/>
      <c r="N868" s="15"/>
      <c r="O868" s="15"/>
      <c r="P868" s="15"/>
      <c r="Q868" s="11"/>
      <c r="R868" s="11"/>
      <c r="S868" s="11"/>
      <c r="T868" s="11"/>
      <c r="U868" s="15"/>
      <c r="V868" s="11"/>
      <c r="W868" s="11"/>
      <c r="X868" s="11"/>
      <c r="Y868" s="11"/>
      <c r="Z868" s="11"/>
    </row>
    <row r="869">
      <c r="A869" s="18"/>
      <c r="B869" s="11"/>
      <c r="C869" s="11"/>
      <c r="D869" s="11"/>
      <c r="E869" s="11"/>
      <c r="F869" s="11"/>
      <c r="G869" s="11"/>
      <c r="H869" s="11"/>
      <c r="I869" s="11"/>
      <c r="J869" s="11"/>
      <c r="K869" s="11"/>
      <c r="L869" s="15"/>
      <c r="M869" s="15"/>
      <c r="N869" s="15"/>
      <c r="O869" s="15"/>
      <c r="P869" s="15"/>
      <c r="Q869" s="11"/>
      <c r="R869" s="11"/>
      <c r="S869" s="11"/>
      <c r="T869" s="11"/>
      <c r="U869" s="15"/>
      <c r="V869" s="11"/>
      <c r="W869" s="11"/>
      <c r="X869" s="11"/>
      <c r="Y869" s="11"/>
      <c r="Z869" s="11"/>
    </row>
    <row r="870">
      <c r="A870" s="18"/>
      <c r="B870" s="11"/>
      <c r="C870" s="11"/>
      <c r="D870" s="11"/>
      <c r="E870" s="11"/>
      <c r="F870" s="11"/>
      <c r="G870" s="11"/>
      <c r="H870" s="11"/>
      <c r="I870" s="11"/>
      <c r="J870" s="11"/>
      <c r="K870" s="11"/>
      <c r="L870" s="15"/>
      <c r="M870" s="15"/>
      <c r="N870" s="15"/>
      <c r="O870" s="15"/>
      <c r="P870" s="15"/>
      <c r="Q870" s="11"/>
      <c r="R870" s="11"/>
      <c r="S870" s="11"/>
      <c r="T870" s="11"/>
      <c r="U870" s="15"/>
      <c r="V870" s="11"/>
      <c r="W870" s="11"/>
      <c r="X870" s="11"/>
      <c r="Y870" s="11"/>
      <c r="Z870" s="11"/>
    </row>
    <row r="871">
      <c r="A871" s="18"/>
      <c r="B871" s="11"/>
      <c r="C871" s="11"/>
      <c r="D871" s="11"/>
      <c r="E871" s="11"/>
      <c r="F871" s="11"/>
      <c r="G871" s="11"/>
      <c r="H871" s="11"/>
      <c r="I871" s="11"/>
      <c r="J871" s="11"/>
      <c r="K871" s="11"/>
      <c r="L871" s="15"/>
      <c r="M871" s="15"/>
      <c r="N871" s="15"/>
      <c r="O871" s="15"/>
      <c r="P871" s="15"/>
      <c r="Q871" s="11"/>
      <c r="R871" s="11"/>
      <c r="S871" s="11"/>
      <c r="T871" s="11"/>
      <c r="U871" s="15"/>
      <c r="V871" s="11"/>
      <c r="W871" s="11"/>
      <c r="X871" s="11"/>
      <c r="Y871" s="11"/>
      <c r="Z871" s="11"/>
    </row>
    <row r="872">
      <c r="A872" s="18"/>
      <c r="B872" s="11"/>
      <c r="C872" s="11"/>
      <c r="D872" s="11"/>
      <c r="E872" s="11"/>
      <c r="F872" s="11"/>
      <c r="G872" s="11"/>
      <c r="H872" s="11"/>
      <c r="I872" s="11"/>
      <c r="J872" s="11"/>
      <c r="K872" s="11"/>
      <c r="L872" s="15"/>
      <c r="M872" s="15"/>
      <c r="N872" s="15"/>
      <c r="O872" s="15"/>
      <c r="P872" s="15"/>
      <c r="Q872" s="11"/>
      <c r="R872" s="11"/>
      <c r="S872" s="11"/>
      <c r="T872" s="11"/>
      <c r="U872" s="15"/>
      <c r="V872" s="11"/>
      <c r="W872" s="11"/>
      <c r="X872" s="11"/>
      <c r="Y872" s="11"/>
      <c r="Z872" s="11"/>
    </row>
    <row r="873">
      <c r="A873" s="18"/>
      <c r="B873" s="11"/>
      <c r="C873" s="11"/>
      <c r="D873" s="11"/>
      <c r="E873" s="11"/>
      <c r="F873" s="11"/>
      <c r="G873" s="11"/>
      <c r="H873" s="11"/>
      <c r="I873" s="11"/>
      <c r="J873" s="11"/>
      <c r="K873" s="11"/>
      <c r="L873" s="15"/>
      <c r="M873" s="15"/>
      <c r="N873" s="15"/>
      <c r="O873" s="15"/>
      <c r="P873" s="15"/>
      <c r="Q873" s="11"/>
      <c r="R873" s="11"/>
      <c r="S873" s="11"/>
      <c r="T873" s="11"/>
      <c r="U873" s="15"/>
      <c r="V873" s="11"/>
      <c r="W873" s="11"/>
      <c r="X873" s="11"/>
      <c r="Y873" s="11"/>
      <c r="Z873" s="11"/>
    </row>
    <row r="874">
      <c r="A874" s="18"/>
      <c r="B874" s="11"/>
      <c r="C874" s="11"/>
      <c r="D874" s="11"/>
      <c r="E874" s="11"/>
      <c r="F874" s="11"/>
      <c r="G874" s="11"/>
      <c r="H874" s="11"/>
      <c r="I874" s="11"/>
      <c r="J874" s="11"/>
      <c r="K874" s="11"/>
      <c r="L874" s="15"/>
      <c r="M874" s="15"/>
      <c r="N874" s="15"/>
      <c r="O874" s="15"/>
      <c r="P874" s="15"/>
      <c r="Q874" s="11"/>
      <c r="R874" s="11"/>
      <c r="S874" s="11"/>
      <c r="T874" s="11"/>
      <c r="U874" s="15"/>
      <c r="V874" s="11"/>
      <c r="W874" s="11"/>
      <c r="X874" s="11"/>
      <c r="Y874" s="11"/>
      <c r="Z874" s="11"/>
    </row>
    <row r="875">
      <c r="A875" s="18"/>
      <c r="B875" s="11"/>
      <c r="C875" s="11"/>
      <c r="D875" s="11"/>
      <c r="E875" s="11"/>
      <c r="F875" s="11"/>
      <c r="G875" s="11"/>
      <c r="H875" s="11"/>
      <c r="I875" s="11"/>
      <c r="J875" s="11"/>
      <c r="K875" s="11"/>
      <c r="L875" s="15"/>
      <c r="M875" s="15"/>
      <c r="N875" s="15"/>
      <c r="O875" s="15"/>
      <c r="P875" s="15"/>
      <c r="Q875" s="11"/>
      <c r="R875" s="11"/>
      <c r="S875" s="11"/>
      <c r="T875" s="11"/>
      <c r="U875" s="15"/>
      <c r="V875" s="11"/>
      <c r="W875" s="11"/>
      <c r="X875" s="11"/>
      <c r="Y875" s="11"/>
      <c r="Z875" s="11"/>
    </row>
    <row r="876">
      <c r="A876" s="18"/>
      <c r="B876" s="11"/>
      <c r="C876" s="11"/>
      <c r="D876" s="11"/>
      <c r="E876" s="11"/>
      <c r="F876" s="11"/>
      <c r="G876" s="11"/>
      <c r="H876" s="11"/>
      <c r="I876" s="11"/>
      <c r="J876" s="11"/>
      <c r="K876" s="11"/>
      <c r="L876" s="15"/>
      <c r="M876" s="15"/>
      <c r="N876" s="15"/>
      <c r="O876" s="15"/>
      <c r="P876" s="15"/>
      <c r="Q876" s="11"/>
      <c r="R876" s="11"/>
      <c r="S876" s="11"/>
      <c r="T876" s="11"/>
      <c r="U876" s="15"/>
      <c r="V876" s="11"/>
      <c r="W876" s="11"/>
      <c r="X876" s="11"/>
      <c r="Y876" s="11"/>
      <c r="Z876" s="11"/>
    </row>
    <row r="877">
      <c r="A877" s="18"/>
      <c r="B877" s="11"/>
      <c r="C877" s="11"/>
      <c r="D877" s="11"/>
      <c r="E877" s="11"/>
      <c r="F877" s="11"/>
      <c r="G877" s="11"/>
      <c r="H877" s="11"/>
      <c r="I877" s="11"/>
      <c r="J877" s="11"/>
      <c r="K877" s="11"/>
      <c r="L877" s="15"/>
      <c r="M877" s="15"/>
      <c r="N877" s="15"/>
      <c r="O877" s="15"/>
      <c r="P877" s="15"/>
      <c r="Q877" s="11"/>
      <c r="R877" s="11"/>
      <c r="S877" s="11"/>
      <c r="T877" s="11"/>
      <c r="U877" s="15"/>
      <c r="V877" s="11"/>
      <c r="W877" s="11"/>
      <c r="X877" s="11"/>
      <c r="Y877" s="11"/>
      <c r="Z877" s="11"/>
    </row>
    <row r="878">
      <c r="A878" s="18"/>
      <c r="B878" s="11"/>
      <c r="C878" s="11"/>
      <c r="D878" s="11"/>
      <c r="E878" s="11"/>
      <c r="F878" s="11"/>
      <c r="G878" s="11"/>
      <c r="H878" s="11"/>
      <c r="I878" s="11"/>
      <c r="J878" s="11"/>
      <c r="K878" s="11"/>
      <c r="L878" s="15"/>
      <c r="M878" s="15"/>
      <c r="N878" s="15"/>
      <c r="O878" s="15"/>
      <c r="P878" s="15"/>
      <c r="Q878" s="11"/>
      <c r="R878" s="11"/>
      <c r="S878" s="11"/>
      <c r="T878" s="11"/>
      <c r="U878" s="15"/>
      <c r="V878" s="11"/>
      <c r="W878" s="11"/>
      <c r="X878" s="11"/>
      <c r="Y878" s="11"/>
      <c r="Z878" s="11"/>
    </row>
    <row r="879">
      <c r="A879" s="18"/>
      <c r="B879" s="11"/>
      <c r="C879" s="11"/>
      <c r="D879" s="11"/>
      <c r="E879" s="11"/>
      <c r="F879" s="11"/>
      <c r="G879" s="11"/>
      <c r="H879" s="11"/>
      <c r="I879" s="11"/>
      <c r="J879" s="11"/>
      <c r="K879" s="11"/>
      <c r="L879" s="15"/>
      <c r="M879" s="15"/>
      <c r="N879" s="15"/>
      <c r="O879" s="15"/>
      <c r="P879" s="15"/>
      <c r="Q879" s="11"/>
      <c r="R879" s="11"/>
      <c r="S879" s="11"/>
      <c r="T879" s="11"/>
      <c r="U879" s="15"/>
      <c r="V879" s="11"/>
      <c r="W879" s="11"/>
      <c r="X879" s="11"/>
      <c r="Y879" s="11"/>
      <c r="Z879" s="11"/>
    </row>
    <row r="880">
      <c r="A880" s="18"/>
      <c r="B880" s="11"/>
      <c r="C880" s="11"/>
      <c r="D880" s="11"/>
      <c r="E880" s="11"/>
      <c r="F880" s="11"/>
      <c r="G880" s="11"/>
      <c r="H880" s="11"/>
      <c r="I880" s="11"/>
      <c r="J880" s="11"/>
      <c r="K880" s="11"/>
      <c r="L880" s="15"/>
      <c r="M880" s="15"/>
      <c r="N880" s="15"/>
      <c r="O880" s="15"/>
      <c r="P880" s="15"/>
      <c r="Q880" s="11"/>
      <c r="R880" s="11"/>
      <c r="S880" s="11"/>
      <c r="T880" s="11"/>
      <c r="U880" s="15"/>
      <c r="V880" s="11"/>
      <c r="W880" s="11"/>
      <c r="X880" s="11"/>
      <c r="Y880" s="11"/>
      <c r="Z880" s="11"/>
    </row>
    <row r="881">
      <c r="A881" s="18"/>
      <c r="B881" s="11"/>
      <c r="C881" s="11"/>
      <c r="D881" s="11"/>
      <c r="E881" s="11"/>
      <c r="F881" s="11"/>
      <c r="G881" s="11"/>
      <c r="H881" s="11"/>
      <c r="I881" s="11"/>
      <c r="J881" s="11"/>
      <c r="K881" s="11"/>
      <c r="L881" s="15"/>
      <c r="M881" s="15"/>
      <c r="N881" s="15"/>
      <c r="O881" s="15"/>
      <c r="P881" s="15"/>
      <c r="Q881" s="11"/>
      <c r="R881" s="11"/>
      <c r="S881" s="11"/>
      <c r="T881" s="11"/>
      <c r="U881" s="15"/>
      <c r="V881" s="11"/>
      <c r="W881" s="11"/>
      <c r="X881" s="11"/>
      <c r="Y881" s="11"/>
      <c r="Z881" s="11"/>
    </row>
    <row r="882">
      <c r="A882" s="18"/>
      <c r="B882" s="11"/>
      <c r="C882" s="11"/>
      <c r="D882" s="11"/>
      <c r="E882" s="11"/>
      <c r="F882" s="11"/>
      <c r="G882" s="11"/>
      <c r="H882" s="11"/>
      <c r="I882" s="11"/>
      <c r="J882" s="11"/>
      <c r="K882" s="11"/>
      <c r="L882" s="15"/>
      <c r="M882" s="15"/>
      <c r="N882" s="15"/>
      <c r="O882" s="15"/>
      <c r="P882" s="15"/>
      <c r="Q882" s="11"/>
      <c r="R882" s="11"/>
      <c r="S882" s="11"/>
      <c r="T882" s="11"/>
      <c r="U882" s="15"/>
      <c r="V882" s="11"/>
      <c r="W882" s="11"/>
      <c r="X882" s="11"/>
      <c r="Y882" s="11"/>
      <c r="Z882" s="11"/>
    </row>
    <row r="883">
      <c r="A883" s="18"/>
      <c r="B883" s="11"/>
      <c r="C883" s="11"/>
      <c r="D883" s="11"/>
      <c r="E883" s="11"/>
      <c r="F883" s="11"/>
      <c r="G883" s="11"/>
      <c r="H883" s="11"/>
      <c r="I883" s="11"/>
      <c r="J883" s="11"/>
      <c r="K883" s="11"/>
      <c r="L883" s="15"/>
      <c r="M883" s="15"/>
      <c r="N883" s="15"/>
      <c r="O883" s="15"/>
      <c r="P883" s="15"/>
      <c r="Q883" s="11"/>
      <c r="R883" s="11"/>
      <c r="S883" s="11"/>
      <c r="T883" s="11"/>
      <c r="U883" s="15"/>
      <c r="V883" s="11"/>
      <c r="W883" s="11"/>
      <c r="X883" s="11"/>
      <c r="Y883" s="11"/>
      <c r="Z883" s="11"/>
    </row>
    <row r="884">
      <c r="A884" s="18"/>
      <c r="B884" s="11"/>
      <c r="C884" s="11"/>
      <c r="D884" s="11"/>
      <c r="E884" s="11"/>
      <c r="F884" s="11"/>
      <c r="G884" s="11"/>
      <c r="H884" s="11"/>
      <c r="I884" s="11"/>
      <c r="J884" s="11"/>
      <c r="K884" s="11"/>
      <c r="L884" s="15"/>
      <c r="M884" s="15"/>
      <c r="N884" s="15"/>
      <c r="O884" s="15"/>
      <c r="P884" s="15"/>
      <c r="Q884" s="11"/>
      <c r="R884" s="11"/>
      <c r="S884" s="11"/>
      <c r="T884" s="11"/>
      <c r="U884" s="15"/>
      <c r="V884" s="11"/>
      <c r="W884" s="11"/>
      <c r="X884" s="11"/>
      <c r="Y884" s="11"/>
      <c r="Z884" s="11"/>
    </row>
    <row r="885">
      <c r="A885" s="18"/>
      <c r="B885" s="11"/>
      <c r="C885" s="11"/>
      <c r="D885" s="11"/>
      <c r="E885" s="11"/>
      <c r="F885" s="11"/>
      <c r="G885" s="11"/>
      <c r="H885" s="11"/>
      <c r="I885" s="11"/>
      <c r="J885" s="11"/>
      <c r="K885" s="11"/>
      <c r="L885" s="15"/>
      <c r="M885" s="15"/>
      <c r="N885" s="15"/>
      <c r="O885" s="15"/>
      <c r="P885" s="15"/>
      <c r="Q885" s="11"/>
      <c r="R885" s="11"/>
      <c r="S885" s="11"/>
      <c r="T885" s="11"/>
      <c r="U885" s="15"/>
      <c r="V885" s="11"/>
      <c r="W885" s="11"/>
      <c r="X885" s="11"/>
      <c r="Y885" s="11"/>
      <c r="Z885" s="11"/>
    </row>
    <row r="886">
      <c r="A886" s="18"/>
      <c r="B886" s="11"/>
      <c r="C886" s="11"/>
      <c r="D886" s="11"/>
      <c r="E886" s="11"/>
      <c r="F886" s="11"/>
      <c r="G886" s="11"/>
      <c r="H886" s="11"/>
      <c r="I886" s="11"/>
      <c r="J886" s="11"/>
      <c r="K886" s="11"/>
      <c r="L886" s="15"/>
      <c r="M886" s="15"/>
      <c r="N886" s="15"/>
      <c r="O886" s="15"/>
      <c r="P886" s="15"/>
      <c r="Q886" s="11"/>
      <c r="R886" s="11"/>
      <c r="S886" s="11"/>
      <c r="T886" s="11"/>
      <c r="U886" s="15"/>
      <c r="V886" s="11"/>
      <c r="W886" s="11"/>
      <c r="X886" s="11"/>
      <c r="Y886" s="11"/>
      <c r="Z886" s="11"/>
    </row>
    <row r="887">
      <c r="A887" s="18"/>
      <c r="B887" s="11"/>
      <c r="C887" s="11"/>
      <c r="D887" s="11"/>
      <c r="E887" s="11"/>
      <c r="F887" s="11"/>
      <c r="G887" s="11"/>
      <c r="H887" s="11"/>
      <c r="I887" s="11"/>
      <c r="J887" s="11"/>
      <c r="K887" s="11"/>
      <c r="L887" s="15"/>
      <c r="M887" s="15"/>
      <c r="N887" s="15"/>
      <c r="O887" s="15"/>
      <c r="P887" s="15"/>
      <c r="Q887" s="11"/>
      <c r="R887" s="11"/>
      <c r="S887" s="11"/>
      <c r="T887" s="11"/>
      <c r="U887" s="15"/>
      <c r="V887" s="11"/>
      <c r="W887" s="11"/>
      <c r="X887" s="11"/>
      <c r="Y887" s="11"/>
      <c r="Z887" s="11"/>
    </row>
    <row r="888">
      <c r="A888" s="18"/>
      <c r="B888" s="11"/>
      <c r="C888" s="11"/>
      <c r="D888" s="11"/>
      <c r="E888" s="11"/>
      <c r="F888" s="11"/>
      <c r="G888" s="11"/>
      <c r="H888" s="11"/>
      <c r="I888" s="11"/>
      <c r="J888" s="11"/>
      <c r="K888" s="11"/>
      <c r="L888" s="15"/>
      <c r="M888" s="15"/>
      <c r="N888" s="15"/>
      <c r="O888" s="15"/>
      <c r="P888" s="15"/>
      <c r="Q888" s="11"/>
      <c r="R888" s="11"/>
      <c r="S888" s="11"/>
      <c r="T888" s="11"/>
      <c r="U888" s="15"/>
      <c r="V888" s="11"/>
      <c r="W888" s="11"/>
      <c r="X888" s="11"/>
      <c r="Y888" s="11"/>
      <c r="Z888" s="11"/>
    </row>
    <row r="889">
      <c r="A889" s="18"/>
      <c r="B889" s="11"/>
      <c r="C889" s="11"/>
      <c r="D889" s="11"/>
      <c r="E889" s="11"/>
      <c r="F889" s="11"/>
      <c r="G889" s="11"/>
      <c r="H889" s="11"/>
      <c r="I889" s="11"/>
      <c r="J889" s="11"/>
      <c r="K889" s="11"/>
      <c r="L889" s="15"/>
      <c r="M889" s="15"/>
      <c r="N889" s="15"/>
      <c r="O889" s="15"/>
      <c r="P889" s="15"/>
      <c r="Q889" s="11"/>
      <c r="R889" s="11"/>
      <c r="S889" s="11"/>
      <c r="T889" s="11"/>
      <c r="U889" s="15"/>
      <c r="V889" s="11"/>
      <c r="W889" s="11"/>
      <c r="X889" s="11"/>
      <c r="Y889" s="11"/>
      <c r="Z889" s="11"/>
    </row>
    <row r="890">
      <c r="A890" s="18"/>
      <c r="B890" s="11"/>
      <c r="C890" s="11"/>
      <c r="D890" s="11"/>
      <c r="E890" s="11"/>
      <c r="F890" s="11"/>
      <c r="G890" s="11"/>
      <c r="H890" s="11"/>
      <c r="I890" s="11"/>
      <c r="J890" s="11"/>
      <c r="K890" s="11"/>
      <c r="L890" s="15"/>
      <c r="M890" s="15"/>
      <c r="N890" s="15"/>
      <c r="O890" s="15"/>
      <c r="P890" s="15"/>
      <c r="Q890" s="11"/>
      <c r="R890" s="11"/>
      <c r="S890" s="11"/>
      <c r="T890" s="11"/>
      <c r="U890" s="15"/>
      <c r="V890" s="11"/>
      <c r="W890" s="11"/>
      <c r="X890" s="11"/>
      <c r="Y890" s="11"/>
      <c r="Z890" s="11"/>
    </row>
    <row r="891">
      <c r="A891" s="18"/>
      <c r="B891" s="11"/>
      <c r="C891" s="11"/>
      <c r="D891" s="11"/>
      <c r="E891" s="11"/>
      <c r="F891" s="11"/>
      <c r="G891" s="11"/>
      <c r="H891" s="11"/>
      <c r="I891" s="11"/>
      <c r="J891" s="11"/>
      <c r="K891" s="11"/>
      <c r="L891" s="15"/>
      <c r="M891" s="15"/>
      <c r="N891" s="15"/>
      <c r="O891" s="15"/>
      <c r="P891" s="15"/>
      <c r="Q891" s="11"/>
      <c r="R891" s="11"/>
      <c r="S891" s="11"/>
      <c r="T891" s="11"/>
      <c r="U891" s="15"/>
      <c r="V891" s="11"/>
      <c r="W891" s="11"/>
      <c r="X891" s="11"/>
      <c r="Y891" s="11"/>
      <c r="Z891" s="11"/>
    </row>
    <row r="892">
      <c r="A892" s="18"/>
      <c r="B892" s="11"/>
      <c r="C892" s="11"/>
      <c r="D892" s="11"/>
      <c r="E892" s="11"/>
      <c r="F892" s="11"/>
      <c r="G892" s="11"/>
      <c r="H892" s="11"/>
      <c r="I892" s="11"/>
      <c r="J892" s="11"/>
      <c r="K892" s="11"/>
      <c r="L892" s="15"/>
      <c r="M892" s="15"/>
      <c r="N892" s="15"/>
      <c r="O892" s="15"/>
      <c r="P892" s="15"/>
      <c r="Q892" s="11"/>
      <c r="R892" s="11"/>
      <c r="S892" s="11"/>
      <c r="T892" s="11"/>
      <c r="U892" s="15"/>
      <c r="V892" s="11"/>
      <c r="W892" s="11"/>
      <c r="X892" s="11"/>
      <c r="Y892" s="11"/>
      <c r="Z892" s="11"/>
    </row>
    <row r="893">
      <c r="A893" s="18"/>
      <c r="B893" s="11"/>
      <c r="C893" s="11"/>
      <c r="D893" s="11"/>
      <c r="E893" s="11"/>
      <c r="F893" s="11"/>
      <c r="G893" s="11"/>
      <c r="H893" s="11"/>
      <c r="I893" s="11"/>
      <c r="J893" s="11"/>
      <c r="K893" s="11"/>
      <c r="L893" s="15"/>
      <c r="M893" s="15"/>
      <c r="N893" s="15"/>
      <c r="O893" s="15"/>
      <c r="P893" s="15"/>
      <c r="Q893" s="11"/>
      <c r="R893" s="11"/>
      <c r="S893" s="11"/>
      <c r="T893" s="11"/>
      <c r="U893" s="15"/>
      <c r="V893" s="11"/>
      <c r="W893" s="11"/>
      <c r="X893" s="11"/>
      <c r="Y893" s="11"/>
      <c r="Z893" s="11"/>
    </row>
    <row r="894">
      <c r="A894" s="18"/>
      <c r="B894" s="11"/>
      <c r="C894" s="11"/>
      <c r="D894" s="11"/>
      <c r="E894" s="11"/>
      <c r="F894" s="11"/>
      <c r="G894" s="11"/>
      <c r="H894" s="11"/>
      <c r="I894" s="11"/>
      <c r="J894" s="11"/>
      <c r="K894" s="11"/>
      <c r="L894" s="15"/>
      <c r="M894" s="15"/>
      <c r="N894" s="15"/>
      <c r="O894" s="15"/>
      <c r="P894" s="15"/>
      <c r="Q894" s="11"/>
      <c r="R894" s="11"/>
      <c r="S894" s="11"/>
      <c r="T894" s="11"/>
      <c r="U894" s="15"/>
      <c r="V894" s="11"/>
      <c r="W894" s="11"/>
      <c r="X894" s="11"/>
      <c r="Y894" s="11"/>
      <c r="Z894" s="11"/>
    </row>
    <row r="895">
      <c r="A895" s="18"/>
      <c r="B895" s="11"/>
      <c r="C895" s="11"/>
      <c r="D895" s="11"/>
      <c r="E895" s="11"/>
      <c r="F895" s="11"/>
      <c r="G895" s="11"/>
      <c r="H895" s="11"/>
      <c r="I895" s="11"/>
      <c r="J895" s="11"/>
      <c r="K895" s="11"/>
      <c r="L895" s="15"/>
      <c r="M895" s="15"/>
      <c r="N895" s="15"/>
      <c r="O895" s="15"/>
      <c r="P895" s="15"/>
      <c r="Q895" s="11"/>
      <c r="R895" s="11"/>
      <c r="S895" s="11"/>
      <c r="T895" s="11"/>
      <c r="U895" s="15"/>
      <c r="V895" s="11"/>
      <c r="W895" s="11"/>
      <c r="X895" s="11"/>
      <c r="Y895" s="11"/>
      <c r="Z895" s="11"/>
    </row>
    <row r="896">
      <c r="A896" s="18"/>
      <c r="B896" s="11"/>
      <c r="C896" s="11"/>
      <c r="D896" s="11"/>
      <c r="E896" s="11"/>
      <c r="F896" s="11"/>
      <c r="G896" s="11"/>
      <c r="H896" s="11"/>
      <c r="I896" s="11"/>
      <c r="J896" s="11"/>
      <c r="K896" s="11"/>
      <c r="L896" s="15"/>
      <c r="M896" s="15"/>
      <c r="N896" s="15"/>
      <c r="O896" s="15"/>
      <c r="P896" s="15"/>
      <c r="Q896" s="11"/>
      <c r="R896" s="11"/>
      <c r="S896" s="11"/>
      <c r="T896" s="11"/>
      <c r="U896" s="15"/>
      <c r="V896" s="11"/>
      <c r="W896" s="11"/>
      <c r="X896" s="11"/>
      <c r="Y896" s="11"/>
      <c r="Z896" s="11"/>
    </row>
    <row r="897">
      <c r="A897" s="18"/>
      <c r="B897" s="11"/>
      <c r="C897" s="11"/>
      <c r="D897" s="11"/>
      <c r="E897" s="11"/>
      <c r="F897" s="11"/>
      <c r="G897" s="11"/>
      <c r="H897" s="11"/>
      <c r="I897" s="11"/>
      <c r="J897" s="11"/>
      <c r="K897" s="11"/>
      <c r="L897" s="15"/>
      <c r="M897" s="15"/>
      <c r="N897" s="15"/>
      <c r="O897" s="15"/>
      <c r="P897" s="15"/>
      <c r="Q897" s="11"/>
      <c r="R897" s="11"/>
      <c r="S897" s="11"/>
      <c r="T897" s="11"/>
      <c r="U897" s="15"/>
      <c r="V897" s="11"/>
      <c r="W897" s="11"/>
      <c r="X897" s="11"/>
      <c r="Y897" s="11"/>
      <c r="Z897" s="11"/>
    </row>
    <row r="898">
      <c r="A898" s="18"/>
      <c r="B898" s="11"/>
      <c r="C898" s="11"/>
      <c r="D898" s="11"/>
      <c r="E898" s="11"/>
      <c r="F898" s="11"/>
      <c r="G898" s="11"/>
      <c r="H898" s="11"/>
      <c r="I898" s="11"/>
      <c r="J898" s="11"/>
      <c r="K898" s="11"/>
      <c r="L898" s="15"/>
      <c r="M898" s="15"/>
      <c r="N898" s="15"/>
      <c r="O898" s="15"/>
      <c r="P898" s="15"/>
      <c r="Q898" s="11"/>
      <c r="R898" s="11"/>
      <c r="S898" s="11"/>
      <c r="T898" s="11"/>
      <c r="U898" s="15"/>
      <c r="V898" s="11"/>
      <c r="W898" s="11"/>
      <c r="X898" s="11"/>
      <c r="Y898" s="11"/>
      <c r="Z898" s="11"/>
    </row>
    <row r="899">
      <c r="A899" s="18"/>
      <c r="B899" s="11"/>
      <c r="C899" s="11"/>
      <c r="D899" s="11"/>
      <c r="E899" s="11"/>
      <c r="F899" s="11"/>
      <c r="G899" s="11"/>
      <c r="H899" s="11"/>
      <c r="I899" s="11"/>
      <c r="J899" s="11"/>
      <c r="K899" s="11"/>
      <c r="L899" s="15"/>
      <c r="M899" s="15"/>
      <c r="N899" s="15"/>
      <c r="O899" s="15"/>
      <c r="P899" s="15"/>
      <c r="Q899" s="11"/>
      <c r="R899" s="11"/>
      <c r="S899" s="11"/>
      <c r="T899" s="11"/>
      <c r="U899" s="15"/>
      <c r="V899" s="11"/>
      <c r="W899" s="11"/>
      <c r="X899" s="11"/>
      <c r="Y899" s="11"/>
      <c r="Z899" s="11"/>
    </row>
    <row r="900">
      <c r="A900" s="18"/>
      <c r="B900" s="11"/>
      <c r="C900" s="11"/>
      <c r="D900" s="11"/>
      <c r="E900" s="11"/>
      <c r="F900" s="11"/>
      <c r="G900" s="11"/>
      <c r="H900" s="11"/>
      <c r="I900" s="11"/>
      <c r="J900" s="11"/>
      <c r="K900" s="11"/>
      <c r="L900" s="15"/>
      <c r="M900" s="15"/>
      <c r="N900" s="15"/>
      <c r="O900" s="15"/>
      <c r="P900" s="15"/>
      <c r="Q900" s="11"/>
      <c r="R900" s="11"/>
      <c r="S900" s="11"/>
      <c r="T900" s="11"/>
      <c r="U900" s="15"/>
      <c r="V900" s="11"/>
      <c r="W900" s="11"/>
      <c r="X900" s="11"/>
      <c r="Y900" s="11"/>
      <c r="Z900" s="11"/>
    </row>
    <row r="901">
      <c r="A901" s="18"/>
      <c r="B901" s="11"/>
      <c r="C901" s="11"/>
      <c r="D901" s="11"/>
      <c r="E901" s="11"/>
      <c r="F901" s="11"/>
      <c r="G901" s="11"/>
      <c r="H901" s="11"/>
      <c r="I901" s="11"/>
      <c r="J901" s="11"/>
      <c r="K901" s="11"/>
      <c r="L901" s="15"/>
      <c r="M901" s="15"/>
      <c r="N901" s="15"/>
      <c r="O901" s="15"/>
      <c r="P901" s="15"/>
      <c r="Q901" s="11"/>
      <c r="R901" s="11"/>
      <c r="S901" s="11"/>
      <c r="T901" s="11"/>
      <c r="U901" s="15"/>
      <c r="V901" s="11"/>
      <c r="W901" s="11"/>
      <c r="X901" s="11"/>
      <c r="Y901" s="11"/>
      <c r="Z901" s="11"/>
    </row>
    <row r="902">
      <c r="A902" s="18"/>
      <c r="B902" s="11"/>
      <c r="C902" s="11"/>
      <c r="D902" s="11"/>
      <c r="E902" s="11"/>
      <c r="F902" s="11"/>
      <c r="G902" s="11"/>
      <c r="H902" s="11"/>
      <c r="I902" s="11"/>
      <c r="J902" s="11"/>
      <c r="K902" s="11"/>
      <c r="L902" s="15"/>
      <c r="M902" s="15"/>
      <c r="N902" s="15"/>
      <c r="O902" s="15"/>
      <c r="P902" s="15"/>
      <c r="Q902" s="11"/>
      <c r="R902" s="11"/>
      <c r="S902" s="11"/>
      <c r="T902" s="11"/>
      <c r="U902" s="15"/>
      <c r="V902" s="11"/>
      <c r="W902" s="11"/>
      <c r="X902" s="11"/>
      <c r="Y902" s="11"/>
      <c r="Z902" s="11"/>
    </row>
    <row r="903">
      <c r="A903" s="18"/>
      <c r="B903" s="11"/>
      <c r="C903" s="11"/>
      <c r="D903" s="11"/>
      <c r="E903" s="11"/>
      <c r="F903" s="11"/>
      <c r="G903" s="11"/>
      <c r="H903" s="11"/>
      <c r="I903" s="11"/>
      <c r="J903" s="11"/>
      <c r="K903" s="11"/>
      <c r="L903" s="15"/>
      <c r="M903" s="15"/>
      <c r="N903" s="15"/>
      <c r="O903" s="15"/>
      <c r="P903" s="15"/>
      <c r="Q903" s="11"/>
      <c r="R903" s="11"/>
      <c r="S903" s="11"/>
      <c r="T903" s="11"/>
      <c r="U903" s="15"/>
      <c r="V903" s="11"/>
      <c r="W903" s="11"/>
      <c r="X903" s="11"/>
      <c r="Y903" s="11"/>
      <c r="Z903" s="11"/>
    </row>
    <row r="904">
      <c r="A904" s="18"/>
      <c r="B904" s="11"/>
      <c r="C904" s="11"/>
      <c r="D904" s="11"/>
      <c r="E904" s="11"/>
      <c r="F904" s="11"/>
      <c r="G904" s="11"/>
      <c r="H904" s="11"/>
      <c r="I904" s="11"/>
      <c r="J904" s="11"/>
      <c r="K904" s="11"/>
      <c r="L904" s="15"/>
      <c r="M904" s="15"/>
      <c r="N904" s="15"/>
      <c r="O904" s="15"/>
      <c r="P904" s="15"/>
      <c r="Q904" s="11"/>
      <c r="R904" s="11"/>
      <c r="S904" s="11"/>
      <c r="T904" s="11"/>
      <c r="U904" s="15"/>
      <c r="V904" s="11"/>
      <c r="W904" s="11"/>
      <c r="X904" s="11"/>
      <c r="Y904" s="11"/>
      <c r="Z904" s="11"/>
    </row>
    <row r="905">
      <c r="A905" s="18"/>
      <c r="B905" s="11"/>
      <c r="C905" s="11"/>
      <c r="D905" s="11"/>
      <c r="E905" s="11"/>
      <c r="F905" s="11"/>
      <c r="G905" s="11"/>
      <c r="H905" s="11"/>
      <c r="I905" s="11"/>
      <c r="J905" s="11"/>
      <c r="K905" s="11"/>
      <c r="L905" s="15"/>
      <c r="M905" s="15"/>
      <c r="N905" s="15"/>
      <c r="O905" s="15"/>
      <c r="P905" s="15"/>
      <c r="Q905" s="11"/>
      <c r="R905" s="11"/>
      <c r="S905" s="11"/>
      <c r="T905" s="11"/>
      <c r="U905" s="15"/>
      <c r="V905" s="11"/>
      <c r="W905" s="11"/>
      <c r="X905" s="11"/>
      <c r="Y905" s="11"/>
      <c r="Z905" s="11"/>
    </row>
    <row r="906">
      <c r="A906" s="18"/>
      <c r="B906" s="11"/>
      <c r="C906" s="11"/>
      <c r="D906" s="11"/>
      <c r="E906" s="11"/>
      <c r="F906" s="11"/>
      <c r="G906" s="11"/>
      <c r="H906" s="11"/>
      <c r="I906" s="11"/>
      <c r="J906" s="11"/>
      <c r="K906" s="11"/>
      <c r="L906" s="15"/>
      <c r="M906" s="15"/>
      <c r="N906" s="15"/>
      <c r="O906" s="15"/>
      <c r="P906" s="15"/>
      <c r="Q906" s="11"/>
      <c r="R906" s="11"/>
      <c r="S906" s="11"/>
      <c r="T906" s="11"/>
      <c r="U906" s="15"/>
      <c r="V906" s="11"/>
      <c r="W906" s="11"/>
      <c r="X906" s="11"/>
      <c r="Y906" s="11"/>
      <c r="Z906" s="11"/>
    </row>
    <row r="907">
      <c r="A907" s="18"/>
      <c r="B907" s="11"/>
      <c r="C907" s="11"/>
      <c r="D907" s="11"/>
      <c r="E907" s="11"/>
      <c r="F907" s="11"/>
      <c r="G907" s="11"/>
      <c r="H907" s="11"/>
      <c r="I907" s="11"/>
      <c r="J907" s="11"/>
      <c r="K907" s="11"/>
      <c r="L907" s="15"/>
      <c r="M907" s="15"/>
      <c r="N907" s="15"/>
      <c r="O907" s="15"/>
      <c r="P907" s="15"/>
      <c r="Q907" s="11"/>
      <c r="R907" s="11"/>
      <c r="S907" s="11"/>
      <c r="T907" s="11"/>
      <c r="U907" s="15"/>
      <c r="V907" s="11"/>
      <c r="W907" s="11"/>
      <c r="X907" s="11"/>
      <c r="Y907" s="11"/>
      <c r="Z907" s="11"/>
    </row>
    <row r="908">
      <c r="A908" s="18"/>
      <c r="B908" s="11"/>
      <c r="C908" s="11"/>
      <c r="D908" s="11"/>
      <c r="E908" s="11"/>
      <c r="F908" s="11"/>
      <c r="G908" s="11"/>
      <c r="H908" s="11"/>
      <c r="I908" s="11"/>
      <c r="J908" s="11"/>
      <c r="K908" s="11"/>
      <c r="L908" s="15"/>
      <c r="M908" s="15"/>
      <c r="N908" s="15"/>
      <c r="O908" s="15"/>
      <c r="P908" s="15"/>
      <c r="Q908" s="11"/>
      <c r="R908" s="11"/>
      <c r="S908" s="11"/>
      <c r="T908" s="11"/>
      <c r="U908" s="15"/>
      <c r="V908" s="11"/>
      <c r="W908" s="11"/>
      <c r="X908" s="11"/>
      <c r="Y908" s="11"/>
      <c r="Z908" s="11"/>
    </row>
    <row r="909">
      <c r="A909" s="18"/>
      <c r="B909" s="11"/>
      <c r="C909" s="11"/>
      <c r="D909" s="11"/>
      <c r="E909" s="11"/>
      <c r="F909" s="11"/>
      <c r="G909" s="11"/>
      <c r="H909" s="11"/>
      <c r="I909" s="11"/>
      <c r="J909" s="11"/>
      <c r="K909" s="11"/>
      <c r="L909" s="15"/>
      <c r="M909" s="15"/>
      <c r="N909" s="15"/>
      <c r="O909" s="15"/>
      <c r="P909" s="15"/>
      <c r="Q909" s="11"/>
      <c r="R909" s="11"/>
      <c r="S909" s="11"/>
      <c r="T909" s="11"/>
      <c r="U909" s="15"/>
      <c r="V909" s="11"/>
      <c r="W909" s="11"/>
      <c r="X909" s="11"/>
      <c r="Y909" s="11"/>
      <c r="Z909" s="11"/>
    </row>
    <row r="910">
      <c r="A910" s="18"/>
      <c r="B910" s="11"/>
      <c r="C910" s="11"/>
      <c r="D910" s="11"/>
      <c r="E910" s="11"/>
      <c r="F910" s="11"/>
      <c r="G910" s="11"/>
      <c r="H910" s="11"/>
      <c r="I910" s="11"/>
      <c r="J910" s="11"/>
      <c r="K910" s="11"/>
      <c r="L910" s="15"/>
      <c r="M910" s="15"/>
      <c r="N910" s="15"/>
      <c r="O910" s="15"/>
      <c r="P910" s="15"/>
      <c r="Q910" s="11"/>
      <c r="R910" s="11"/>
      <c r="S910" s="11"/>
      <c r="T910" s="11"/>
      <c r="U910" s="15"/>
      <c r="V910" s="11"/>
      <c r="W910" s="11"/>
      <c r="X910" s="11"/>
      <c r="Y910" s="11"/>
      <c r="Z910" s="11"/>
    </row>
    <row r="911">
      <c r="A911" s="18"/>
      <c r="B911" s="11"/>
      <c r="C911" s="11"/>
      <c r="D911" s="11"/>
      <c r="E911" s="11"/>
      <c r="F911" s="11"/>
      <c r="G911" s="11"/>
      <c r="H911" s="11"/>
      <c r="I911" s="11"/>
      <c r="J911" s="11"/>
      <c r="K911" s="11"/>
      <c r="L911" s="15"/>
      <c r="M911" s="15"/>
      <c r="N911" s="15"/>
      <c r="O911" s="15"/>
      <c r="P911" s="15"/>
      <c r="Q911" s="11"/>
      <c r="R911" s="11"/>
      <c r="S911" s="11"/>
      <c r="T911" s="11"/>
      <c r="U911" s="15"/>
      <c r="V911" s="11"/>
      <c r="W911" s="11"/>
      <c r="X911" s="11"/>
      <c r="Y911" s="11"/>
      <c r="Z911" s="11"/>
    </row>
    <row r="912">
      <c r="A912" s="18"/>
      <c r="B912" s="11"/>
      <c r="C912" s="11"/>
      <c r="D912" s="11"/>
      <c r="E912" s="11"/>
      <c r="F912" s="11"/>
      <c r="G912" s="11"/>
      <c r="H912" s="11"/>
      <c r="I912" s="11"/>
      <c r="J912" s="11"/>
      <c r="K912" s="11"/>
      <c r="L912" s="15"/>
      <c r="M912" s="15"/>
      <c r="N912" s="15"/>
      <c r="O912" s="15"/>
      <c r="P912" s="15"/>
      <c r="Q912" s="11"/>
      <c r="R912" s="11"/>
      <c r="S912" s="11"/>
      <c r="T912" s="11"/>
      <c r="U912" s="15"/>
      <c r="V912" s="11"/>
      <c r="W912" s="11"/>
      <c r="X912" s="11"/>
      <c r="Y912" s="11"/>
      <c r="Z912" s="11"/>
    </row>
    <row r="913">
      <c r="A913" s="18"/>
      <c r="B913" s="11"/>
      <c r="C913" s="11"/>
      <c r="D913" s="11"/>
      <c r="E913" s="11"/>
      <c r="F913" s="11"/>
      <c r="G913" s="11"/>
      <c r="H913" s="11"/>
      <c r="I913" s="11"/>
      <c r="J913" s="11"/>
      <c r="K913" s="11"/>
      <c r="L913" s="15"/>
      <c r="M913" s="15"/>
      <c r="N913" s="15"/>
      <c r="O913" s="15"/>
      <c r="P913" s="15"/>
      <c r="Q913" s="11"/>
      <c r="R913" s="11"/>
      <c r="S913" s="11"/>
      <c r="T913" s="11"/>
      <c r="U913" s="15"/>
      <c r="V913" s="11"/>
      <c r="W913" s="11"/>
      <c r="X913" s="11"/>
      <c r="Y913" s="11"/>
      <c r="Z913" s="11"/>
    </row>
    <row r="914">
      <c r="A914" s="18"/>
      <c r="B914" s="11"/>
      <c r="C914" s="11"/>
      <c r="D914" s="11"/>
      <c r="E914" s="11"/>
      <c r="F914" s="11"/>
      <c r="G914" s="11"/>
      <c r="H914" s="11"/>
      <c r="I914" s="11"/>
      <c r="J914" s="11"/>
      <c r="K914" s="11"/>
      <c r="L914" s="15"/>
      <c r="M914" s="15"/>
      <c r="N914" s="15"/>
      <c r="O914" s="15"/>
      <c r="P914" s="15"/>
      <c r="Q914" s="11"/>
      <c r="R914" s="11"/>
      <c r="S914" s="11"/>
      <c r="T914" s="11"/>
      <c r="U914" s="15"/>
      <c r="V914" s="11"/>
      <c r="W914" s="11"/>
      <c r="X914" s="11"/>
      <c r="Y914" s="11"/>
      <c r="Z914" s="11"/>
    </row>
    <row r="915">
      <c r="A915" s="18"/>
      <c r="B915" s="11"/>
      <c r="C915" s="11"/>
      <c r="D915" s="11"/>
      <c r="E915" s="11"/>
      <c r="F915" s="11"/>
      <c r="G915" s="11"/>
      <c r="H915" s="11"/>
      <c r="I915" s="11"/>
      <c r="J915" s="11"/>
      <c r="K915" s="11"/>
      <c r="L915" s="15"/>
      <c r="M915" s="15"/>
      <c r="N915" s="15"/>
      <c r="O915" s="15"/>
      <c r="P915" s="15"/>
      <c r="Q915" s="11"/>
      <c r="R915" s="11"/>
      <c r="S915" s="11"/>
      <c r="T915" s="11"/>
      <c r="U915" s="15"/>
      <c r="V915" s="11"/>
      <c r="W915" s="11"/>
      <c r="X915" s="11"/>
      <c r="Y915" s="11"/>
      <c r="Z915" s="11"/>
    </row>
    <row r="916">
      <c r="A916" s="18"/>
      <c r="B916" s="11"/>
      <c r="C916" s="11"/>
      <c r="D916" s="11"/>
      <c r="E916" s="11"/>
      <c r="F916" s="11"/>
      <c r="G916" s="11"/>
      <c r="H916" s="11"/>
      <c r="I916" s="11"/>
      <c r="J916" s="11"/>
      <c r="K916" s="11"/>
      <c r="L916" s="15"/>
      <c r="M916" s="15"/>
      <c r="N916" s="15"/>
      <c r="O916" s="15"/>
      <c r="P916" s="15"/>
      <c r="Q916" s="11"/>
      <c r="R916" s="11"/>
      <c r="S916" s="11"/>
      <c r="T916" s="11"/>
      <c r="U916" s="15"/>
      <c r="V916" s="11"/>
      <c r="W916" s="11"/>
      <c r="X916" s="11"/>
      <c r="Y916" s="11"/>
      <c r="Z916" s="11"/>
    </row>
    <row r="917">
      <c r="A917" s="18"/>
      <c r="B917" s="11"/>
      <c r="C917" s="11"/>
      <c r="D917" s="11"/>
      <c r="E917" s="11"/>
      <c r="F917" s="11"/>
      <c r="G917" s="11"/>
      <c r="H917" s="11"/>
      <c r="I917" s="11"/>
      <c r="J917" s="11"/>
      <c r="K917" s="11"/>
      <c r="L917" s="15"/>
      <c r="M917" s="15"/>
      <c r="N917" s="15"/>
      <c r="O917" s="15"/>
      <c r="P917" s="15"/>
      <c r="Q917" s="11"/>
      <c r="R917" s="11"/>
      <c r="S917" s="11"/>
      <c r="T917" s="11"/>
      <c r="U917" s="15"/>
      <c r="V917" s="11"/>
      <c r="W917" s="11"/>
      <c r="X917" s="11"/>
      <c r="Y917" s="11"/>
      <c r="Z917" s="11"/>
    </row>
    <row r="918">
      <c r="A918" s="18"/>
      <c r="B918" s="11"/>
      <c r="C918" s="11"/>
      <c r="D918" s="11"/>
      <c r="E918" s="11"/>
      <c r="F918" s="11"/>
      <c r="G918" s="11"/>
      <c r="H918" s="11"/>
      <c r="I918" s="11"/>
      <c r="J918" s="11"/>
      <c r="K918" s="11"/>
      <c r="L918" s="15"/>
      <c r="M918" s="15"/>
      <c r="N918" s="15"/>
      <c r="O918" s="15"/>
      <c r="P918" s="15"/>
      <c r="Q918" s="11"/>
      <c r="R918" s="11"/>
      <c r="S918" s="11"/>
      <c r="T918" s="11"/>
      <c r="U918" s="15"/>
      <c r="V918" s="11"/>
      <c r="W918" s="11"/>
      <c r="X918" s="11"/>
      <c r="Y918" s="11"/>
      <c r="Z918" s="11"/>
    </row>
    <row r="919">
      <c r="A919" s="18"/>
      <c r="B919" s="11"/>
      <c r="C919" s="11"/>
      <c r="D919" s="11"/>
      <c r="E919" s="11"/>
      <c r="F919" s="11"/>
      <c r="G919" s="11"/>
      <c r="H919" s="11"/>
      <c r="I919" s="11"/>
      <c r="J919" s="11"/>
      <c r="K919" s="11"/>
      <c r="L919" s="15"/>
      <c r="M919" s="15"/>
      <c r="N919" s="15"/>
      <c r="O919" s="15"/>
      <c r="P919" s="15"/>
      <c r="Q919" s="11"/>
      <c r="R919" s="11"/>
      <c r="S919" s="11"/>
      <c r="T919" s="11"/>
      <c r="U919" s="15"/>
      <c r="V919" s="11"/>
      <c r="W919" s="11"/>
      <c r="X919" s="11"/>
      <c r="Y919" s="11"/>
      <c r="Z919" s="11"/>
    </row>
    <row r="920">
      <c r="A920" s="18"/>
      <c r="B920" s="11"/>
      <c r="C920" s="11"/>
      <c r="D920" s="11"/>
      <c r="E920" s="11"/>
      <c r="F920" s="11"/>
      <c r="G920" s="11"/>
      <c r="H920" s="11"/>
      <c r="I920" s="11"/>
      <c r="J920" s="11"/>
      <c r="K920" s="11"/>
      <c r="L920" s="15"/>
      <c r="M920" s="15"/>
      <c r="N920" s="15"/>
      <c r="O920" s="15"/>
      <c r="P920" s="15"/>
      <c r="Q920" s="11"/>
      <c r="R920" s="11"/>
      <c r="S920" s="11"/>
      <c r="T920" s="11"/>
      <c r="U920" s="15"/>
      <c r="V920" s="11"/>
      <c r="W920" s="11"/>
      <c r="X920" s="11"/>
      <c r="Y920" s="11"/>
      <c r="Z920" s="11"/>
    </row>
    <row r="921">
      <c r="A921" s="18"/>
      <c r="B921" s="11"/>
      <c r="C921" s="11"/>
      <c r="D921" s="11"/>
      <c r="E921" s="11"/>
      <c r="F921" s="11"/>
      <c r="G921" s="11"/>
      <c r="H921" s="11"/>
      <c r="I921" s="11"/>
      <c r="J921" s="11"/>
      <c r="K921" s="11"/>
      <c r="L921" s="15"/>
      <c r="M921" s="15"/>
      <c r="N921" s="15"/>
      <c r="O921" s="15"/>
      <c r="P921" s="15"/>
      <c r="Q921" s="11"/>
      <c r="R921" s="11"/>
      <c r="S921" s="11"/>
      <c r="T921" s="11"/>
      <c r="U921" s="15"/>
      <c r="V921" s="11"/>
      <c r="W921" s="11"/>
      <c r="X921" s="11"/>
      <c r="Y921" s="11"/>
      <c r="Z921" s="11"/>
    </row>
    <row r="922">
      <c r="A922" s="18"/>
      <c r="B922" s="11"/>
      <c r="C922" s="11"/>
      <c r="D922" s="11"/>
      <c r="E922" s="11"/>
      <c r="F922" s="11"/>
      <c r="G922" s="11"/>
      <c r="H922" s="11"/>
      <c r="I922" s="11"/>
      <c r="J922" s="11"/>
      <c r="K922" s="11"/>
      <c r="L922" s="15"/>
      <c r="M922" s="15"/>
      <c r="N922" s="15"/>
      <c r="O922" s="15"/>
      <c r="P922" s="15"/>
      <c r="Q922" s="11"/>
      <c r="R922" s="11"/>
      <c r="S922" s="11"/>
      <c r="T922" s="11"/>
      <c r="U922" s="15"/>
      <c r="V922" s="11"/>
      <c r="W922" s="11"/>
      <c r="X922" s="11"/>
      <c r="Y922" s="11"/>
      <c r="Z922" s="11"/>
    </row>
    <row r="923">
      <c r="A923" s="18"/>
      <c r="B923" s="11"/>
      <c r="C923" s="11"/>
      <c r="D923" s="11"/>
      <c r="E923" s="11"/>
      <c r="F923" s="11"/>
      <c r="G923" s="11"/>
      <c r="H923" s="11"/>
      <c r="I923" s="11"/>
      <c r="J923" s="11"/>
      <c r="K923" s="11"/>
      <c r="L923" s="15"/>
      <c r="M923" s="15"/>
      <c r="N923" s="15"/>
      <c r="O923" s="15"/>
      <c r="P923" s="15"/>
      <c r="Q923" s="11"/>
      <c r="R923" s="11"/>
      <c r="S923" s="11"/>
      <c r="T923" s="11"/>
      <c r="U923" s="15"/>
      <c r="V923" s="11"/>
      <c r="W923" s="11"/>
      <c r="X923" s="11"/>
      <c r="Y923" s="11"/>
      <c r="Z923" s="11"/>
    </row>
    <row r="924">
      <c r="A924" s="18"/>
      <c r="B924" s="11"/>
      <c r="C924" s="11"/>
      <c r="D924" s="11"/>
      <c r="E924" s="11"/>
      <c r="F924" s="11"/>
      <c r="G924" s="11"/>
      <c r="H924" s="11"/>
      <c r="I924" s="11"/>
      <c r="J924" s="11"/>
      <c r="K924" s="11"/>
      <c r="L924" s="15"/>
      <c r="M924" s="15"/>
      <c r="N924" s="15"/>
      <c r="O924" s="15"/>
      <c r="P924" s="15"/>
      <c r="Q924" s="11"/>
      <c r="R924" s="11"/>
      <c r="S924" s="11"/>
      <c r="T924" s="11"/>
      <c r="U924" s="15"/>
      <c r="V924" s="11"/>
      <c r="W924" s="11"/>
      <c r="X924" s="11"/>
      <c r="Y924" s="11"/>
      <c r="Z924" s="11"/>
    </row>
    <row r="925">
      <c r="A925" s="18"/>
      <c r="B925" s="11"/>
      <c r="C925" s="11"/>
      <c r="D925" s="11"/>
      <c r="E925" s="11"/>
      <c r="F925" s="11"/>
      <c r="G925" s="11"/>
      <c r="H925" s="11"/>
      <c r="I925" s="11"/>
      <c r="J925" s="11"/>
      <c r="K925" s="11"/>
      <c r="L925" s="15"/>
      <c r="M925" s="15"/>
      <c r="N925" s="15"/>
      <c r="O925" s="15"/>
      <c r="P925" s="15"/>
      <c r="Q925" s="11"/>
      <c r="R925" s="11"/>
      <c r="S925" s="11"/>
      <c r="T925" s="11"/>
      <c r="U925" s="15"/>
      <c r="V925" s="11"/>
      <c r="W925" s="11"/>
      <c r="X925" s="11"/>
      <c r="Y925" s="11"/>
      <c r="Z925" s="11"/>
    </row>
    <row r="926">
      <c r="A926" s="18"/>
      <c r="B926" s="11"/>
      <c r="C926" s="11"/>
      <c r="D926" s="11"/>
      <c r="E926" s="11"/>
      <c r="F926" s="11"/>
      <c r="G926" s="11"/>
      <c r="H926" s="11"/>
      <c r="I926" s="11"/>
      <c r="J926" s="11"/>
      <c r="K926" s="11"/>
      <c r="L926" s="15"/>
      <c r="M926" s="15"/>
      <c r="N926" s="15"/>
      <c r="O926" s="15"/>
      <c r="P926" s="15"/>
      <c r="Q926" s="11"/>
      <c r="R926" s="11"/>
      <c r="S926" s="11"/>
      <c r="T926" s="11"/>
      <c r="U926" s="15"/>
      <c r="V926" s="11"/>
      <c r="W926" s="11"/>
      <c r="X926" s="11"/>
      <c r="Y926" s="11"/>
      <c r="Z926" s="11"/>
    </row>
    <row r="927">
      <c r="A927" s="18"/>
      <c r="B927" s="11"/>
      <c r="C927" s="11"/>
      <c r="D927" s="11"/>
      <c r="E927" s="11"/>
      <c r="F927" s="11"/>
      <c r="G927" s="11"/>
      <c r="H927" s="11"/>
      <c r="I927" s="11"/>
      <c r="J927" s="11"/>
      <c r="K927" s="11"/>
      <c r="L927" s="15"/>
      <c r="M927" s="15"/>
      <c r="N927" s="15"/>
      <c r="O927" s="15"/>
      <c r="P927" s="15"/>
      <c r="Q927" s="11"/>
      <c r="R927" s="11"/>
      <c r="S927" s="11"/>
      <c r="T927" s="11"/>
      <c r="U927" s="15"/>
      <c r="V927" s="11"/>
      <c r="W927" s="11"/>
      <c r="X927" s="11"/>
      <c r="Y927" s="11"/>
      <c r="Z927" s="11"/>
    </row>
    <row r="928">
      <c r="A928" s="18"/>
      <c r="B928" s="11"/>
      <c r="C928" s="11"/>
      <c r="D928" s="11"/>
      <c r="E928" s="11"/>
      <c r="F928" s="11"/>
      <c r="G928" s="11"/>
      <c r="H928" s="11"/>
      <c r="I928" s="11"/>
      <c r="J928" s="11"/>
      <c r="K928" s="11"/>
      <c r="L928" s="15"/>
      <c r="M928" s="15"/>
      <c r="N928" s="15"/>
      <c r="O928" s="15"/>
      <c r="P928" s="15"/>
      <c r="Q928" s="11"/>
      <c r="R928" s="11"/>
      <c r="S928" s="11"/>
      <c r="T928" s="11"/>
      <c r="U928" s="15"/>
      <c r="V928" s="11"/>
      <c r="W928" s="11"/>
      <c r="X928" s="11"/>
      <c r="Y928" s="11"/>
      <c r="Z928" s="11"/>
    </row>
    <row r="929">
      <c r="A929" s="18"/>
      <c r="B929" s="11"/>
      <c r="C929" s="11"/>
      <c r="D929" s="11"/>
      <c r="E929" s="11"/>
      <c r="F929" s="11"/>
      <c r="G929" s="11"/>
      <c r="H929" s="11"/>
      <c r="I929" s="11"/>
      <c r="J929" s="11"/>
      <c r="K929" s="11"/>
      <c r="L929" s="15"/>
      <c r="M929" s="15"/>
      <c r="N929" s="15"/>
      <c r="O929" s="15"/>
      <c r="P929" s="15"/>
      <c r="Q929" s="11"/>
      <c r="R929" s="11"/>
      <c r="S929" s="11"/>
      <c r="T929" s="11"/>
      <c r="U929" s="15"/>
      <c r="V929" s="11"/>
      <c r="W929" s="11"/>
      <c r="X929" s="11"/>
      <c r="Y929" s="11"/>
      <c r="Z929" s="11"/>
    </row>
    <row r="930">
      <c r="A930" s="18"/>
      <c r="B930" s="11"/>
      <c r="C930" s="11"/>
      <c r="D930" s="11"/>
      <c r="E930" s="11"/>
      <c r="F930" s="11"/>
      <c r="G930" s="11"/>
      <c r="H930" s="11"/>
      <c r="I930" s="11"/>
      <c r="J930" s="11"/>
      <c r="K930" s="11"/>
      <c r="L930" s="15"/>
      <c r="M930" s="15"/>
      <c r="N930" s="15"/>
      <c r="O930" s="15"/>
      <c r="P930" s="15"/>
      <c r="Q930" s="11"/>
      <c r="R930" s="11"/>
      <c r="S930" s="11"/>
      <c r="T930" s="11"/>
      <c r="U930" s="15"/>
      <c r="V930" s="11"/>
      <c r="W930" s="11"/>
      <c r="X930" s="11"/>
      <c r="Y930" s="11"/>
      <c r="Z930" s="11"/>
    </row>
    <row r="931">
      <c r="A931" s="18"/>
      <c r="B931" s="11"/>
      <c r="C931" s="11"/>
      <c r="D931" s="11"/>
      <c r="E931" s="11"/>
      <c r="F931" s="11"/>
      <c r="G931" s="11"/>
      <c r="H931" s="11"/>
      <c r="I931" s="11"/>
      <c r="J931" s="11"/>
      <c r="K931" s="11"/>
      <c r="L931" s="15"/>
      <c r="M931" s="15"/>
      <c r="N931" s="15"/>
      <c r="O931" s="15"/>
      <c r="P931" s="15"/>
      <c r="Q931" s="11"/>
      <c r="R931" s="11"/>
      <c r="S931" s="11"/>
      <c r="T931" s="11"/>
      <c r="U931" s="15"/>
      <c r="V931" s="11"/>
      <c r="W931" s="11"/>
      <c r="X931" s="11"/>
      <c r="Y931" s="11"/>
      <c r="Z931" s="11"/>
    </row>
    <row r="932">
      <c r="A932" s="18"/>
      <c r="B932" s="11"/>
      <c r="C932" s="11"/>
      <c r="D932" s="11"/>
      <c r="E932" s="11"/>
      <c r="F932" s="11"/>
      <c r="G932" s="11"/>
      <c r="H932" s="11"/>
      <c r="I932" s="11"/>
      <c r="J932" s="11"/>
      <c r="K932" s="11"/>
      <c r="L932" s="15"/>
      <c r="M932" s="15"/>
      <c r="N932" s="15"/>
      <c r="O932" s="15"/>
      <c r="P932" s="15"/>
      <c r="Q932" s="11"/>
      <c r="R932" s="11"/>
      <c r="S932" s="11"/>
      <c r="T932" s="11"/>
      <c r="U932" s="15"/>
      <c r="V932" s="11"/>
      <c r="W932" s="11"/>
      <c r="X932" s="11"/>
      <c r="Y932" s="11"/>
      <c r="Z932" s="11"/>
    </row>
    <row r="933">
      <c r="A933" s="18"/>
      <c r="B933" s="11"/>
      <c r="C933" s="11"/>
      <c r="D933" s="11"/>
      <c r="E933" s="11"/>
      <c r="F933" s="11"/>
      <c r="G933" s="11"/>
      <c r="H933" s="11"/>
      <c r="I933" s="11"/>
      <c r="J933" s="11"/>
      <c r="K933" s="11"/>
      <c r="L933" s="15"/>
      <c r="M933" s="15"/>
      <c r="N933" s="15"/>
      <c r="O933" s="15"/>
      <c r="P933" s="15"/>
      <c r="Q933" s="11"/>
      <c r="R933" s="11"/>
      <c r="S933" s="11"/>
      <c r="T933" s="11"/>
      <c r="U933" s="15"/>
      <c r="V933" s="11"/>
      <c r="W933" s="11"/>
      <c r="X933" s="11"/>
      <c r="Y933" s="11"/>
      <c r="Z933" s="11"/>
    </row>
    <row r="934">
      <c r="A934" s="18"/>
      <c r="B934" s="11"/>
      <c r="C934" s="11"/>
      <c r="D934" s="11"/>
      <c r="E934" s="11"/>
      <c r="F934" s="11"/>
      <c r="G934" s="11"/>
      <c r="H934" s="11"/>
      <c r="I934" s="11"/>
      <c r="J934" s="11"/>
      <c r="K934" s="11"/>
      <c r="L934" s="15"/>
      <c r="M934" s="15"/>
      <c r="N934" s="15"/>
      <c r="O934" s="15"/>
      <c r="P934" s="15"/>
      <c r="Q934" s="11"/>
      <c r="R934" s="11"/>
      <c r="S934" s="11"/>
      <c r="T934" s="11"/>
      <c r="U934" s="15"/>
      <c r="V934" s="11"/>
      <c r="W934" s="11"/>
      <c r="X934" s="11"/>
      <c r="Y934" s="11"/>
      <c r="Z934" s="11"/>
    </row>
    <row r="935">
      <c r="A935" s="18"/>
      <c r="B935" s="11"/>
      <c r="C935" s="11"/>
      <c r="D935" s="11"/>
      <c r="E935" s="11"/>
      <c r="F935" s="11"/>
      <c r="G935" s="11"/>
      <c r="H935" s="11"/>
      <c r="I935" s="11"/>
      <c r="J935" s="11"/>
      <c r="K935" s="11"/>
      <c r="L935" s="15"/>
      <c r="M935" s="15"/>
      <c r="N935" s="15"/>
      <c r="O935" s="15"/>
      <c r="P935" s="15"/>
      <c r="Q935" s="11"/>
      <c r="R935" s="11"/>
      <c r="S935" s="11"/>
      <c r="T935" s="11"/>
      <c r="U935" s="15"/>
      <c r="V935" s="11"/>
      <c r="W935" s="11"/>
      <c r="X935" s="11"/>
      <c r="Y935" s="11"/>
      <c r="Z935" s="11"/>
    </row>
    <row r="936">
      <c r="A936" s="18"/>
      <c r="B936" s="11"/>
      <c r="C936" s="11"/>
      <c r="D936" s="11"/>
      <c r="E936" s="11"/>
      <c r="F936" s="11"/>
      <c r="G936" s="11"/>
      <c r="H936" s="11"/>
      <c r="I936" s="11"/>
      <c r="J936" s="11"/>
      <c r="K936" s="11"/>
      <c r="L936" s="15"/>
      <c r="M936" s="15"/>
      <c r="N936" s="15"/>
      <c r="O936" s="15"/>
      <c r="P936" s="15"/>
      <c r="Q936" s="11"/>
      <c r="R936" s="11"/>
      <c r="S936" s="11"/>
      <c r="T936" s="11"/>
      <c r="U936" s="15"/>
      <c r="V936" s="11"/>
      <c r="W936" s="11"/>
      <c r="X936" s="11"/>
      <c r="Y936" s="11"/>
      <c r="Z936" s="11"/>
    </row>
    <row r="937">
      <c r="A937" s="18"/>
      <c r="B937" s="11"/>
      <c r="C937" s="11"/>
      <c r="D937" s="11"/>
      <c r="E937" s="11"/>
      <c r="F937" s="11"/>
      <c r="G937" s="11"/>
      <c r="H937" s="11"/>
      <c r="I937" s="11"/>
      <c r="J937" s="11"/>
      <c r="K937" s="11"/>
      <c r="L937" s="15"/>
      <c r="M937" s="15"/>
      <c r="N937" s="15"/>
      <c r="O937" s="15"/>
      <c r="P937" s="15"/>
      <c r="Q937" s="11"/>
      <c r="R937" s="11"/>
      <c r="S937" s="11"/>
      <c r="T937" s="11"/>
      <c r="U937" s="15"/>
      <c r="V937" s="11"/>
      <c r="W937" s="11"/>
      <c r="X937" s="11"/>
      <c r="Y937" s="11"/>
      <c r="Z937" s="11"/>
    </row>
    <row r="938">
      <c r="A938" s="18"/>
      <c r="B938" s="11"/>
      <c r="C938" s="11"/>
      <c r="D938" s="11"/>
      <c r="E938" s="11"/>
      <c r="F938" s="11"/>
      <c r="G938" s="11"/>
      <c r="H938" s="11"/>
      <c r="I938" s="11"/>
      <c r="J938" s="11"/>
      <c r="K938" s="11"/>
      <c r="L938" s="15"/>
      <c r="M938" s="15"/>
      <c r="N938" s="15"/>
      <c r="O938" s="15"/>
      <c r="P938" s="15"/>
      <c r="Q938" s="11"/>
      <c r="R938" s="11"/>
      <c r="S938" s="11"/>
      <c r="T938" s="11"/>
      <c r="U938" s="15"/>
      <c r="V938" s="11"/>
      <c r="W938" s="11"/>
      <c r="X938" s="11"/>
      <c r="Y938" s="11"/>
      <c r="Z938" s="11"/>
    </row>
    <row r="939">
      <c r="A939" s="18"/>
      <c r="B939" s="11"/>
      <c r="C939" s="11"/>
      <c r="D939" s="11"/>
      <c r="E939" s="11"/>
      <c r="F939" s="11"/>
      <c r="G939" s="11"/>
      <c r="H939" s="11"/>
      <c r="I939" s="11"/>
      <c r="J939" s="11"/>
      <c r="K939" s="11"/>
      <c r="L939" s="15"/>
      <c r="M939" s="15"/>
      <c r="N939" s="15"/>
      <c r="O939" s="15"/>
      <c r="P939" s="15"/>
      <c r="Q939" s="11"/>
      <c r="R939" s="11"/>
      <c r="S939" s="11"/>
      <c r="T939" s="11"/>
      <c r="U939" s="15"/>
      <c r="V939" s="11"/>
      <c r="W939" s="11"/>
      <c r="X939" s="11"/>
      <c r="Y939" s="11"/>
      <c r="Z939" s="11"/>
    </row>
    <row r="940">
      <c r="A940" s="18"/>
      <c r="B940" s="11"/>
      <c r="C940" s="11"/>
      <c r="D940" s="11"/>
      <c r="E940" s="11"/>
      <c r="F940" s="11"/>
      <c r="G940" s="11"/>
      <c r="H940" s="11"/>
      <c r="I940" s="11"/>
      <c r="J940" s="11"/>
      <c r="K940" s="11"/>
      <c r="L940" s="15"/>
      <c r="M940" s="15"/>
      <c r="N940" s="15"/>
      <c r="O940" s="15"/>
      <c r="P940" s="15"/>
      <c r="Q940" s="11"/>
      <c r="R940" s="11"/>
      <c r="S940" s="11"/>
      <c r="T940" s="11"/>
      <c r="U940" s="15"/>
      <c r="V940" s="11"/>
      <c r="W940" s="11"/>
      <c r="X940" s="11"/>
      <c r="Y940" s="11"/>
      <c r="Z940" s="11"/>
    </row>
    <row r="941">
      <c r="A941" s="18"/>
      <c r="B941" s="11"/>
      <c r="C941" s="11"/>
      <c r="D941" s="11"/>
      <c r="E941" s="11"/>
      <c r="F941" s="11"/>
      <c r="G941" s="11"/>
      <c r="H941" s="11"/>
      <c r="I941" s="11"/>
      <c r="J941" s="11"/>
      <c r="K941" s="11"/>
      <c r="L941" s="15"/>
      <c r="M941" s="15"/>
      <c r="N941" s="15"/>
      <c r="O941" s="15"/>
      <c r="P941" s="15"/>
      <c r="Q941" s="11"/>
      <c r="R941" s="11"/>
      <c r="S941" s="11"/>
      <c r="T941" s="11"/>
      <c r="U941" s="15"/>
      <c r="V941" s="11"/>
      <c r="W941" s="11"/>
      <c r="X941" s="11"/>
      <c r="Y941" s="11"/>
      <c r="Z941" s="11"/>
    </row>
    <row r="942">
      <c r="A942" s="18"/>
      <c r="B942" s="11"/>
      <c r="C942" s="11"/>
      <c r="D942" s="11"/>
      <c r="E942" s="11"/>
      <c r="F942" s="11"/>
      <c r="G942" s="11"/>
      <c r="H942" s="11"/>
      <c r="I942" s="11"/>
      <c r="J942" s="11"/>
      <c r="K942" s="11"/>
      <c r="L942" s="15"/>
      <c r="M942" s="15"/>
      <c r="N942" s="15"/>
      <c r="O942" s="15"/>
      <c r="P942" s="15"/>
      <c r="Q942" s="11"/>
      <c r="R942" s="11"/>
      <c r="S942" s="11"/>
      <c r="T942" s="11"/>
      <c r="U942" s="15"/>
      <c r="V942" s="11"/>
      <c r="W942" s="11"/>
      <c r="X942" s="11"/>
      <c r="Y942" s="11"/>
      <c r="Z942" s="11"/>
    </row>
    <row r="943">
      <c r="A943" s="18"/>
      <c r="B943" s="11"/>
      <c r="C943" s="11"/>
      <c r="D943" s="11"/>
      <c r="E943" s="11"/>
      <c r="F943" s="11"/>
      <c r="G943" s="11"/>
      <c r="H943" s="11"/>
      <c r="I943" s="11"/>
      <c r="J943" s="11"/>
      <c r="K943" s="11"/>
      <c r="L943" s="15"/>
      <c r="M943" s="15"/>
      <c r="N943" s="15"/>
      <c r="O943" s="15"/>
      <c r="P943" s="15"/>
      <c r="Q943" s="11"/>
      <c r="R943" s="11"/>
      <c r="S943" s="11"/>
      <c r="T943" s="11"/>
      <c r="U943" s="15"/>
      <c r="V943" s="11"/>
      <c r="W943" s="11"/>
      <c r="X943" s="11"/>
      <c r="Y943" s="11"/>
      <c r="Z943" s="11"/>
    </row>
    <row r="944">
      <c r="A944" s="18"/>
      <c r="B944" s="11"/>
      <c r="C944" s="11"/>
      <c r="D944" s="11"/>
      <c r="E944" s="11"/>
      <c r="F944" s="11"/>
      <c r="G944" s="11"/>
      <c r="H944" s="11"/>
      <c r="I944" s="11"/>
      <c r="J944" s="11"/>
      <c r="K944" s="11"/>
      <c r="L944" s="15"/>
      <c r="M944" s="15"/>
      <c r="N944" s="15"/>
      <c r="O944" s="15"/>
      <c r="P944" s="15"/>
      <c r="Q944" s="11"/>
      <c r="R944" s="11"/>
      <c r="S944" s="11"/>
      <c r="T944" s="11"/>
      <c r="U944" s="15"/>
      <c r="V944" s="11"/>
      <c r="W944" s="11"/>
      <c r="X944" s="11"/>
      <c r="Y944" s="11"/>
      <c r="Z944" s="11"/>
    </row>
    <row r="945">
      <c r="A945" s="18"/>
      <c r="B945" s="11"/>
      <c r="C945" s="11"/>
      <c r="D945" s="11"/>
      <c r="E945" s="11"/>
      <c r="F945" s="11"/>
      <c r="G945" s="11"/>
      <c r="H945" s="11"/>
      <c r="I945" s="11"/>
      <c r="J945" s="11"/>
      <c r="K945" s="11"/>
      <c r="L945" s="15"/>
      <c r="M945" s="15"/>
      <c r="N945" s="15"/>
      <c r="O945" s="15"/>
      <c r="P945" s="15"/>
      <c r="Q945" s="11"/>
      <c r="R945" s="11"/>
      <c r="S945" s="11"/>
      <c r="T945" s="11"/>
      <c r="U945" s="15"/>
      <c r="V945" s="11"/>
      <c r="W945" s="11"/>
      <c r="X945" s="11"/>
      <c r="Y945" s="11"/>
      <c r="Z945" s="11"/>
    </row>
    <row r="946">
      <c r="A946" s="18"/>
      <c r="B946" s="11"/>
      <c r="C946" s="11"/>
      <c r="D946" s="11"/>
      <c r="E946" s="11"/>
      <c r="F946" s="11"/>
      <c r="G946" s="11"/>
      <c r="H946" s="11"/>
      <c r="I946" s="11"/>
      <c r="J946" s="11"/>
      <c r="K946" s="11"/>
      <c r="L946" s="15"/>
      <c r="M946" s="15"/>
      <c r="N946" s="15"/>
      <c r="O946" s="15"/>
      <c r="P946" s="15"/>
      <c r="Q946" s="11"/>
      <c r="R946" s="11"/>
      <c r="S946" s="11"/>
      <c r="T946" s="11"/>
      <c r="U946" s="15"/>
      <c r="V946" s="11"/>
      <c r="W946" s="11"/>
      <c r="X946" s="11"/>
      <c r="Y946" s="11"/>
      <c r="Z946" s="11"/>
    </row>
    <row r="947">
      <c r="A947" s="18"/>
      <c r="B947" s="11"/>
      <c r="C947" s="11"/>
      <c r="D947" s="11"/>
      <c r="E947" s="11"/>
      <c r="F947" s="11"/>
      <c r="G947" s="11"/>
      <c r="H947" s="11"/>
      <c r="I947" s="11"/>
      <c r="J947" s="11"/>
      <c r="K947" s="11"/>
      <c r="L947" s="15"/>
      <c r="M947" s="15"/>
      <c r="N947" s="15"/>
      <c r="O947" s="15"/>
      <c r="P947" s="15"/>
      <c r="Q947" s="11"/>
      <c r="R947" s="11"/>
      <c r="S947" s="11"/>
      <c r="T947" s="11"/>
      <c r="U947" s="15"/>
      <c r="V947" s="11"/>
      <c r="W947" s="11"/>
      <c r="X947" s="11"/>
      <c r="Y947" s="11"/>
      <c r="Z947" s="11"/>
    </row>
    <row r="948">
      <c r="A948" s="18"/>
      <c r="B948" s="11"/>
      <c r="C948" s="11"/>
      <c r="D948" s="11"/>
      <c r="E948" s="11"/>
      <c r="F948" s="11"/>
      <c r="G948" s="11"/>
      <c r="H948" s="11"/>
      <c r="I948" s="11"/>
      <c r="J948" s="11"/>
      <c r="K948" s="11"/>
      <c r="L948" s="15"/>
      <c r="M948" s="15"/>
      <c r="N948" s="15"/>
      <c r="O948" s="15"/>
      <c r="P948" s="15"/>
      <c r="Q948" s="11"/>
      <c r="R948" s="11"/>
      <c r="S948" s="11"/>
      <c r="T948" s="11"/>
      <c r="U948" s="15"/>
      <c r="V948" s="11"/>
      <c r="W948" s="11"/>
      <c r="X948" s="11"/>
      <c r="Y948" s="11"/>
      <c r="Z948" s="11"/>
    </row>
    <row r="949">
      <c r="A949" s="18"/>
      <c r="B949" s="11"/>
      <c r="C949" s="11"/>
      <c r="D949" s="11"/>
      <c r="E949" s="11"/>
      <c r="F949" s="11"/>
      <c r="G949" s="11"/>
      <c r="H949" s="11"/>
      <c r="I949" s="11"/>
      <c r="J949" s="11"/>
      <c r="K949" s="11"/>
      <c r="L949" s="15"/>
      <c r="M949" s="15"/>
      <c r="N949" s="15"/>
      <c r="O949" s="15"/>
      <c r="P949" s="15"/>
      <c r="Q949" s="11"/>
      <c r="R949" s="11"/>
      <c r="S949" s="11"/>
      <c r="T949" s="11"/>
      <c r="U949" s="15"/>
      <c r="V949" s="11"/>
      <c r="W949" s="11"/>
      <c r="X949" s="11"/>
      <c r="Y949" s="11"/>
      <c r="Z949" s="11"/>
    </row>
    <row r="950">
      <c r="A950" s="18"/>
      <c r="B950" s="11"/>
      <c r="C950" s="11"/>
      <c r="D950" s="11"/>
      <c r="E950" s="11"/>
      <c r="F950" s="11"/>
      <c r="G950" s="11"/>
      <c r="H950" s="11"/>
      <c r="I950" s="11"/>
      <c r="J950" s="11"/>
      <c r="K950" s="11"/>
      <c r="L950" s="15"/>
      <c r="M950" s="15"/>
      <c r="N950" s="15"/>
      <c r="O950" s="15"/>
      <c r="P950" s="15"/>
      <c r="Q950" s="11"/>
      <c r="R950" s="11"/>
      <c r="S950" s="11"/>
      <c r="T950" s="11"/>
      <c r="U950" s="15"/>
      <c r="V950" s="11"/>
      <c r="W950" s="11"/>
      <c r="X950" s="11"/>
      <c r="Y950" s="11"/>
      <c r="Z950" s="11"/>
    </row>
    <row r="951">
      <c r="A951" s="18"/>
      <c r="B951" s="11"/>
      <c r="C951" s="11"/>
      <c r="D951" s="11"/>
      <c r="E951" s="11"/>
      <c r="F951" s="11"/>
      <c r="G951" s="11"/>
      <c r="H951" s="11"/>
      <c r="I951" s="11"/>
      <c r="J951" s="11"/>
      <c r="K951" s="11"/>
      <c r="L951" s="15"/>
      <c r="M951" s="15"/>
      <c r="N951" s="15"/>
      <c r="O951" s="15"/>
      <c r="P951" s="15"/>
      <c r="Q951" s="11"/>
      <c r="R951" s="11"/>
      <c r="S951" s="11"/>
      <c r="T951" s="11"/>
      <c r="U951" s="15"/>
      <c r="V951" s="11"/>
      <c r="W951" s="11"/>
      <c r="X951" s="11"/>
      <c r="Y951" s="11"/>
      <c r="Z951" s="11"/>
    </row>
    <row r="952">
      <c r="A952" s="18"/>
      <c r="B952" s="11"/>
      <c r="C952" s="11"/>
      <c r="D952" s="11"/>
      <c r="E952" s="11"/>
      <c r="F952" s="11"/>
      <c r="G952" s="11"/>
      <c r="H952" s="11"/>
      <c r="I952" s="11"/>
      <c r="J952" s="11"/>
      <c r="K952" s="11"/>
      <c r="L952" s="15"/>
      <c r="M952" s="15"/>
      <c r="N952" s="15"/>
      <c r="O952" s="15"/>
      <c r="P952" s="15"/>
      <c r="Q952" s="11"/>
      <c r="R952" s="11"/>
      <c r="S952" s="11"/>
      <c r="T952" s="11"/>
      <c r="U952" s="15"/>
      <c r="V952" s="11"/>
      <c r="W952" s="11"/>
      <c r="X952" s="11"/>
      <c r="Y952" s="11"/>
      <c r="Z952" s="11"/>
    </row>
    <row r="953">
      <c r="A953" s="18"/>
      <c r="B953" s="11"/>
      <c r="C953" s="11"/>
      <c r="D953" s="11"/>
      <c r="E953" s="11"/>
      <c r="F953" s="11"/>
      <c r="G953" s="11"/>
      <c r="H953" s="11"/>
      <c r="I953" s="11"/>
      <c r="J953" s="11"/>
      <c r="K953" s="11"/>
      <c r="L953" s="15"/>
      <c r="M953" s="15"/>
      <c r="N953" s="15"/>
      <c r="O953" s="15"/>
      <c r="P953" s="15"/>
      <c r="Q953" s="11"/>
      <c r="R953" s="11"/>
      <c r="S953" s="11"/>
      <c r="T953" s="11"/>
      <c r="U953" s="15"/>
      <c r="V953" s="11"/>
      <c r="W953" s="11"/>
      <c r="X953" s="11"/>
      <c r="Y953" s="11"/>
      <c r="Z953" s="11"/>
    </row>
    <row r="954">
      <c r="A954" s="18"/>
      <c r="B954" s="11"/>
      <c r="C954" s="11"/>
      <c r="D954" s="11"/>
      <c r="E954" s="11"/>
      <c r="F954" s="11"/>
      <c r="G954" s="11"/>
      <c r="H954" s="11"/>
      <c r="I954" s="11"/>
      <c r="J954" s="11"/>
      <c r="K954" s="11"/>
      <c r="L954" s="15"/>
      <c r="M954" s="15"/>
      <c r="N954" s="15"/>
      <c r="O954" s="15"/>
      <c r="P954" s="15"/>
      <c r="Q954" s="11"/>
      <c r="R954" s="11"/>
      <c r="S954" s="11"/>
      <c r="T954" s="11"/>
      <c r="U954" s="15"/>
      <c r="V954" s="11"/>
      <c r="W954" s="11"/>
      <c r="X954" s="11"/>
      <c r="Y954" s="11"/>
      <c r="Z954" s="11"/>
    </row>
    <row r="955">
      <c r="A955" s="18"/>
      <c r="B955" s="11"/>
      <c r="C955" s="11"/>
      <c r="D955" s="11"/>
      <c r="E955" s="11"/>
      <c r="F955" s="11"/>
      <c r="G955" s="11"/>
      <c r="H955" s="11"/>
      <c r="I955" s="11"/>
      <c r="J955" s="11"/>
      <c r="K955" s="11"/>
      <c r="L955" s="15"/>
      <c r="M955" s="15"/>
      <c r="N955" s="15"/>
      <c r="O955" s="15"/>
      <c r="P955" s="15"/>
      <c r="Q955" s="11"/>
      <c r="R955" s="11"/>
      <c r="S955" s="11"/>
      <c r="T955" s="11"/>
      <c r="U955" s="15"/>
      <c r="V955" s="11"/>
      <c r="W955" s="11"/>
      <c r="X955" s="11"/>
      <c r="Y955" s="11"/>
      <c r="Z955" s="11"/>
    </row>
    <row r="956">
      <c r="A956" s="18"/>
      <c r="B956" s="11"/>
      <c r="C956" s="11"/>
      <c r="D956" s="11"/>
      <c r="E956" s="11"/>
      <c r="F956" s="11"/>
      <c r="G956" s="11"/>
      <c r="H956" s="11"/>
      <c r="I956" s="11"/>
      <c r="J956" s="11"/>
      <c r="K956" s="11"/>
      <c r="L956" s="15"/>
      <c r="M956" s="15"/>
      <c r="N956" s="15"/>
      <c r="O956" s="15"/>
      <c r="P956" s="15"/>
      <c r="Q956" s="11"/>
      <c r="R956" s="11"/>
      <c r="S956" s="11"/>
      <c r="T956" s="11"/>
      <c r="U956" s="15"/>
      <c r="V956" s="11"/>
      <c r="W956" s="11"/>
      <c r="X956" s="11"/>
      <c r="Y956" s="11"/>
      <c r="Z956" s="11"/>
    </row>
    <row r="957">
      <c r="A957" s="18"/>
      <c r="B957" s="11"/>
      <c r="C957" s="11"/>
      <c r="D957" s="11"/>
      <c r="E957" s="11"/>
      <c r="F957" s="11"/>
      <c r="G957" s="11"/>
      <c r="H957" s="11"/>
      <c r="I957" s="11"/>
      <c r="J957" s="11"/>
      <c r="K957" s="11"/>
      <c r="L957" s="15"/>
      <c r="M957" s="15"/>
      <c r="N957" s="15"/>
      <c r="O957" s="15"/>
      <c r="P957" s="15"/>
      <c r="Q957" s="11"/>
      <c r="R957" s="11"/>
      <c r="S957" s="11"/>
      <c r="T957" s="11"/>
      <c r="U957" s="15"/>
      <c r="V957" s="11"/>
      <c r="W957" s="11"/>
      <c r="X957" s="11"/>
      <c r="Y957" s="11"/>
      <c r="Z957" s="11"/>
    </row>
    <row r="958">
      <c r="A958" s="18"/>
      <c r="B958" s="11"/>
      <c r="C958" s="11"/>
      <c r="D958" s="11"/>
      <c r="E958" s="11"/>
      <c r="F958" s="11"/>
      <c r="G958" s="11"/>
      <c r="H958" s="11"/>
      <c r="I958" s="11"/>
      <c r="J958" s="11"/>
      <c r="K958" s="11"/>
      <c r="L958" s="15"/>
      <c r="M958" s="15"/>
      <c r="N958" s="15"/>
      <c r="O958" s="15"/>
      <c r="P958" s="15"/>
      <c r="Q958" s="11"/>
      <c r="R958" s="11"/>
      <c r="S958" s="11"/>
      <c r="T958" s="11"/>
      <c r="U958" s="15"/>
      <c r="V958" s="11"/>
      <c r="W958" s="11"/>
      <c r="X958" s="11"/>
      <c r="Y958" s="11"/>
      <c r="Z958" s="11"/>
    </row>
    <row r="959">
      <c r="A959" s="18"/>
      <c r="B959" s="11"/>
      <c r="C959" s="11"/>
      <c r="D959" s="11"/>
      <c r="E959" s="11"/>
      <c r="F959" s="11"/>
      <c r="G959" s="11"/>
      <c r="H959" s="11"/>
      <c r="I959" s="11"/>
      <c r="J959" s="11"/>
      <c r="K959" s="11"/>
      <c r="L959" s="15"/>
      <c r="M959" s="15"/>
      <c r="N959" s="15"/>
      <c r="O959" s="15"/>
      <c r="P959" s="15"/>
      <c r="Q959" s="11"/>
      <c r="R959" s="11"/>
      <c r="S959" s="11"/>
      <c r="T959" s="11"/>
      <c r="U959" s="15"/>
      <c r="V959" s="11"/>
      <c r="W959" s="11"/>
      <c r="X959" s="11"/>
      <c r="Y959" s="11"/>
      <c r="Z959" s="11"/>
    </row>
    <row r="960">
      <c r="A960" s="18"/>
      <c r="B960" s="11"/>
      <c r="C960" s="11"/>
      <c r="D960" s="11"/>
      <c r="E960" s="11"/>
      <c r="F960" s="11"/>
      <c r="G960" s="11"/>
      <c r="H960" s="11"/>
      <c r="I960" s="11"/>
      <c r="J960" s="11"/>
      <c r="K960" s="11"/>
      <c r="L960" s="15"/>
      <c r="M960" s="15"/>
      <c r="N960" s="15"/>
      <c r="O960" s="15"/>
      <c r="P960" s="15"/>
      <c r="Q960" s="11"/>
      <c r="R960" s="11"/>
      <c r="S960" s="11"/>
      <c r="T960" s="11"/>
      <c r="U960" s="15"/>
      <c r="V960" s="11"/>
      <c r="W960" s="11"/>
      <c r="X960" s="11"/>
      <c r="Y960" s="11"/>
      <c r="Z960" s="11"/>
    </row>
    <row r="961">
      <c r="A961" s="18"/>
      <c r="B961" s="11"/>
      <c r="C961" s="11"/>
      <c r="D961" s="11"/>
      <c r="E961" s="11"/>
      <c r="F961" s="11"/>
      <c r="G961" s="11"/>
      <c r="H961" s="11"/>
      <c r="I961" s="11"/>
      <c r="J961" s="11"/>
      <c r="K961" s="11"/>
      <c r="L961" s="15"/>
      <c r="M961" s="15"/>
      <c r="N961" s="15"/>
      <c r="O961" s="15"/>
      <c r="P961" s="15"/>
      <c r="Q961" s="11"/>
      <c r="R961" s="11"/>
      <c r="S961" s="11"/>
      <c r="T961" s="11"/>
      <c r="U961" s="15"/>
      <c r="V961" s="11"/>
      <c r="W961" s="11"/>
      <c r="X961" s="11"/>
      <c r="Y961" s="11"/>
      <c r="Z961" s="11"/>
    </row>
    <row r="962">
      <c r="A962" s="18"/>
      <c r="B962" s="11"/>
      <c r="C962" s="11"/>
      <c r="D962" s="11"/>
      <c r="E962" s="11"/>
      <c r="F962" s="11"/>
      <c r="G962" s="11"/>
      <c r="H962" s="11"/>
      <c r="I962" s="11"/>
      <c r="J962" s="11"/>
      <c r="K962" s="11"/>
      <c r="L962" s="15"/>
      <c r="M962" s="15"/>
      <c r="N962" s="15"/>
      <c r="O962" s="15"/>
      <c r="P962" s="15"/>
      <c r="Q962" s="11"/>
      <c r="R962" s="11"/>
      <c r="S962" s="11"/>
      <c r="T962" s="11"/>
      <c r="U962" s="15"/>
      <c r="V962" s="11"/>
      <c r="W962" s="11"/>
      <c r="X962" s="11"/>
      <c r="Y962" s="11"/>
      <c r="Z962" s="11"/>
    </row>
    <row r="963">
      <c r="A963" s="18"/>
      <c r="B963" s="11"/>
      <c r="C963" s="11"/>
      <c r="D963" s="11"/>
      <c r="E963" s="11"/>
      <c r="F963" s="11"/>
      <c r="G963" s="11"/>
      <c r="H963" s="11"/>
      <c r="I963" s="11"/>
      <c r="J963" s="11"/>
      <c r="K963" s="11"/>
      <c r="L963" s="15"/>
      <c r="M963" s="15"/>
      <c r="N963" s="15"/>
      <c r="O963" s="15"/>
      <c r="P963" s="15"/>
      <c r="Q963" s="11"/>
      <c r="R963" s="11"/>
      <c r="S963" s="11"/>
      <c r="T963" s="11"/>
      <c r="U963" s="15"/>
      <c r="V963" s="11"/>
      <c r="W963" s="11"/>
      <c r="X963" s="11"/>
      <c r="Y963" s="11"/>
      <c r="Z963" s="11"/>
    </row>
    <row r="964">
      <c r="A964" s="18"/>
      <c r="B964" s="11"/>
      <c r="C964" s="11"/>
      <c r="D964" s="11"/>
      <c r="E964" s="11"/>
      <c r="F964" s="11"/>
      <c r="G964" s="11"/>
      <c r="H964" s="11"/>
      <c r="I964" s="11"/>
      <c r="J964" s="11"/>
      <c r="K964" s="11"/>
      <c r="L964" s="15"/>
      <c r="M964" s="15"/>
      <c r="N964" s="15"/>
      <c r="O964" s="15"/>
      <c r="P964" s="15"/>
      <c r="Q964" s="11"/>
      <c r="R964" s="11"/>
      <c r="S964" s="11"/>
      <c r="T964" s="11"/>
      <c r="U964" s="15"/>
      <c r="V964" s="11"/>
      <c r="W964" s="11"/>
      <c r="X964" s="11"/>
      <c r="Y964" s="11"/>
      <c r="Z964" s="11"/>
    </row>
    <row r="965">
      <c r="A965" s="18"/>
      <c r="B965" s="11"/>
      <c r="C965" s="11"/>
      <c r="D965" s="11"/>
      <c r="E965" s="11"/>
      <c r="F965" s="11"/>
      <c r="G965" s="11"/>
      <c r="H965" s="11"/>
      <c r="I965" s="11"/>
      <c r="J965" s="11"/>
      <c r="K965" s="11"/>
      <c r="L965" s="15"/>
      <c r="M965" s="15"/>
      <c r="N965" s="15"/>
      <c r="O965" s="15"/>
      <c r="P965" s="15"/>
      <c r="Q965" s="11"/>
      <c r="R965" s="11"/>
      <c r="S965" s="11"/>
      <c r="T965" s="11"/>
      <c r="U965" s="15"/>
      <c r="V965" s="11"/>
      <c r="W965" s="11"/>
      <c r="X965" s="11"/>
      <c r="Y965" s="11"/>
      <c r="Z965" s="11"/>
    </row>
    <row r="966">
      <c r="A966" s="18"/>
      <c r="B966" s="11"/>
      <c r="C966" s="11"/>
      <c r="D966" s="11"/>
      <c r="E966" s="11"/>
      <c r="F966" s="11"/>
      <c r="G966" s="11"/>
      <c r="H966" s="11"/>
      <c r="I966" s="11"/>
      <c r="J966" s="11"/>
      <c r="K966" s="11"/>
      <c r="L966" s="15"/>
      <c r="M966" s="15"/>
      <c r="N966" s="15"/>
      <c r="O966" s="15"/>
      <c r="P966" s="15"/>
      <c r="Q966" s="11"/>
      <c r="R966" s="11"/>
      <c r="S966" s="11"/>
      <c r="T966" s="11"/>
      <c r="U966" s="15"/>
      <c r="V966" s="11"/>
      <c r="W966" s="11"/>
      <c r="X966" s="11"/>
      <c r="Y966" s="11"/>
      <c r="Z966" s="11"/>
    </row>
    <row r="967">
      <c r="A967" s="18"/>
      <c r="B967" s="11"/>
      <c r="C967" s="11"/>
      <c r="D967" s="11"/>
      <c r="E967" s="11"/>
      <c r="F967" s="11"/>
      <c r="G967" s="11"/>
      <c r="H967" s="11"/>
      <c r="I967" s="11"/>
      <c r="J967" s="11"/>
      <c r="K967" s="11"/>
      <c r="L967" s="15"/>
      <c r="M967" s="15"/>
      <c r="N967" s="15"/>
      <c r="O967" s="15"/>
      <c r="P967" s="15"/>
      <c r="Q967" s="11"/>
      <c r="R967" s="11"/>
      <c r="S967" s="11"/>
      <c r="T967" s="11"/>
      <c r="U967" s="15"/>
      <c r="V967" s="11"/>
      <c r="W967" s="11"/>
      <c r="X967" s="11"/>
      <c r="Y967" s="11"/>
      <c r="Z967" s="11"/>
    </row>
    <row r="968">
      <c r="A968" s="18"/>
      <c r="B968" s="11"/>
      <c r="C968" s="11"/>
      <c r="D968" s="11"/>
      <c r="E968" s="11"/>
      <c r="F968" s="11"/>
      <c r="G968" s="11"/>
      <c r="H968" s="11"/>
      <c r="I968" s="11"/>
      <c r="J968" s="11"/>
      <c r="K968" s="11"/>
      <c r="L968" s="15"/>
      <c r="M968" s="15"/>
      <c r="N968" s="15"/>
      <c r="O968" s="15"/>
      <c r="P968" s="15"/>
      <c r="Q968" s="11"/>
      <c r="R968" s="11"/>
      <c r="S968" s="11"/>
      <c r="T968" s="11"/>
      <c r="U968" s="15"/>
      <c r="V968" s="11"/>
      <c r="W968" s="11"/>
      <c r="X968" s="11"/>
      <c r="Y968" s="11"/>
      <c r="Z968" s="11"/>
    </row>
    <row r="969">
      <c r="A969" s="18"/>
      <c r="B969" s="11"/>
      <c r="C969" s="11"/>
      <c r="D969" s="11"/>
      <c r="E969" s="11"/>
      <c r="F969" s="11"/>
      <c r="G969" s="11"/>
      <c r="H969" s="11"/>
      <c r="I969" s="11"/>
      <c r="J969" s="11"/>
      <c r="K969" s="11"/>
      <c r="L969" s="15"/>
      <c r="M969" s="15"/>
      <c r="N969" s="15"/>
      <c r="O969" s="15"/>
      <c r="P969" s="15"/>
      <c r="Q969" s="11"/>
      <c r="R969" s="11"/>
      <c r="S969" s="11"/>
      <c r="T969" s="11"/>
      <c r="U969" s="15"/>
      <c r="V969" s="11"/>
      <c r="W969" s="11"/>
      <c r="X969" s="11"/>
      <c r="Y969" s="11"/>
      <c r="Z969" s="11"/>
    </row>
    <row r="970">
      <c r="A970" s="18"/>
      <c r="B970" s="11"/>
      <c r="C970" s="11"/>
      <c r="D970" s="11"/>
      <c r="E970" s="11"/>
      <c r="F970" s="11"/>
      <c r="G970" s="11"/>
      <c r="H970" s="11"/>
      <c r="I970" s="11"/>
      <c r="J970" s="11"/>
      <c r="K970" s="11"/>
      <c r="L970" s="15"/>
      <c r="M970" s="15"/>
      <c r="N970" s="15"/>
      <c r="O970" s="15"/>
      <c r="P970" s="15"/>
      <c r="Q970" s="11"/>
      <c r="R970" s="11"/>
      <c r="S970" s="11"/>
      <c r="T970" s="11"/>
      <c r="U970" s="15"/>
      <c r="V970" s="11"/>
      <c r="W970" s="11"/>
      <c r="X970" s="11"/>
      <c r="Y970" s="11"/>
      <c r="Z970" s="11"/>
    </row>
    <row r="971">
      <c r="A971" s="18"/>
      <c r="B971" s="11"/>
      <c r="C971" s="11"/>
      <c r="D971" s="11"/>
      <c r="E971" s="11"/>
      <c r="F971" s="11"/>
      <c r="G971" s="11"/>
      <c r="H971" s="11"/>
      <c r="I971" s="11"/>
      <c r="J971" s="11"/>
      <c r="K971" s="11"/>
      <c r="L971" s="15"/>
      <c r="M971" s="15"/>
      <c r="N971" s="15"/>
      <c r="O971" s="15"/>
      <c r="P971" s="15"/>
      <c r="Q971" s="11"/>
      <c r="R971" s="11"/>
      <c r="S971" s="11"/>
      <c r="T971" s="11"/>
      <c r="U971" s="15"/>
      <c r="V971" s="11"/>
      <c r="W971" s="11"/>
      <c r="X971" s="11"/>
      <c r="Y971" s="11"/>
      <c r="Z971" s="11"/>
    </row>
    <row r="972">
      <c r="A972" s="18"/>
      <c r="B972" s="11"/>
      <c r="C972" s="11"/>
      <c r="D972" s="11"/>
      <c r="E972" s="11"/>
      <c r="F972" s="11"/>
      <c r="G972" s="11"/>
      <c r="H972" s="11"/>
      <c r="I972" s="11"/>
      <c r="J972" s="11"/>
      <c r="K972" s="11"/>
      <c r="L972" s="15"/>
      <c r="M972" s="15"/>
      <c r="N972" s="15"/>
      <c r="O972" s="15"/>
      <c r="P972" s="15"/>
      <c r="Q972" s="11"/>
      <c r="R972" s="11"/>
      <c r="S972" s="11"/>
      <c r="T972" s="11"/>
      <c r="U972" s="15"/>
      <c r="V972" s="11"/>
      <c r="W972" s="11"/>
      <c r="X972" s="11"/>
      <c r="Y972" s="11"/>
      <c r="Z972" s="11"/>
    </row>
    <row r="973">
      <c r="A973" s="18"/>
      <c r="B973" s="11"/>
      <c r="C973" s="11"/>
      <c r="D973" s="11"/>
      <c r="E973" s="11"/>
      <c r="F973" s="11"/>
      <c r="G973" s="11"/>
      <c r="H973" s="11"/>
      <c r="I973" s="11"/>
      <c r="J973" s="11"/>
      <c r="K973" s="11"/>
      <c r="L973" s="15"/>
      <c r="M973" s="15"/>
      <c r="N973" s="15"/>
      <c r="O973" s="15"/>
      <c r="P973" s="15"/>
      <c r="Q973" s="11"/>
      <c r="R973" s="11"/>
      <c r="S973" s="11"/>
      <c r="T973" s="11"/>
      <c r="U973" s="15"/>
      <c r="V973" s="11"/>
      <c r="W973" s="11"/>
      <c r="X973" s="11"/>
      <c r="Y973" s="11"/>
      <c r="Z973" s="11"/>
    </row>
    <row r="974">
      <c r="A974" s="18"/>
      <c r="B974" s="11"/>
      <c r="C974" s="11"/>
      <c r="D974" s="11"/>
      <c r="E974" s="11"/>
      <c r="F974" s="11"/>
      <c r="G974" s="11"/>
      <c r="H974" s="11"/>
      <c r="I974" s="11"/>
      <c r="J974" s="11"/>
      <c r="K974" s="11"/>
      <c r="L974" s="15"/>
      <c r="M974" s="15"/>
      <c r="N974" s="15"/>
      <c r="O974" s="15"/>
      <c r="P974" s="15"/>
      <c r="Q974" s="11"/>
      <c r="R974" s="11"/>
      <c r="S974" s="11"/>
      <c r="T974" s="11"/>
      <c r="U974" s="15"/>
      <c r="V974" s="11"/>
      <c r="W974" s="11"/>
      <c r="X974" s="11"/>
      <c r="Y974" s="11"/>
      <c r="Z974" s="11"/>
    </row>
    <row r="975">
      <c r="A975" s="18"/>
      <c r="B975" s="11"/>
      <c r="C975" s="11"/>
      <c r="D975" s="11"/>
      <c r="E975" s="11"/>
      <c r="F975" s="11"/>
      <c r="G975" s="11"/>
      <c r="H975" s="11"/>
      <c r="I975" s="11"/>
      <c r="J975" s="11"/>
      <c r="K975" s="11"/>
      <c r="L975" s="15"/>
      <c r="M975" s="15"/>
      <c r="N975" s="15"/>
      <c r="O975" s="15"/>
      <c r="P975" s="15"/>
      <c r="Q975" s="11"/>
      <c r="R975" s="11"/>
      <c r="S975" s="11"/>
      <c r="T975" s="11"/>
      <c r="U975" s="15"/>
      <c r="V975" s="11"/>
      <c r="W975" s="11"/>
      <c r="X975" s="11"/>
      <c r="Y975" s="11"/>
      <c r="Z975" s="11"/>
    </row>
    <row r="976">
      <c r="A976" s="18"/>
      <c r="B976" s="11"/>
      <c r="C976" s="11"/>
      <c r="D976" s="11"/>
      <c r="E976" s="11"/>
      <c r="F976" s="11"/>
      <c r="G976" s="11"/>
      <c r="H976" s="11"/>
      <c r="I976" s="11"/>
      <c r="J976" s="11"/>
      <c r="K976" s="11"/>
      <c r="L976" s="15"/>
      <c r="M976" s="15"/>
      <c r="N976" s="15"/>
      <c r="O976" s="15"/>
      <c r="P976" s="15"/>
      <c r="Q976" s="11"/>
      <c r="R976" s="11"/>
      <c r="S976" s="11"/>
      <c r="T976" s="11"/>
      <c r="U976" s="15"/>
      <c r="V976" s="11"/>
      <c r="W976" s="11"/>
      <c r="X976" s="11"/>
      <c r="Y976" s="11"/>
      <c r="Z976" s="11"/>
    </row>
    <row r="977">
      <c r="A977" s="18"/>
      <c r="B977" s="11"/>
      <c r="C977" s="11"/>
      <c r="D977" s="11"/>
      <c r="E977" s="11"/>
      <c r="F977" s="11"/>
      <c r="G977" s="11"/>
      <c r="H977" s="11"/>
      <c r="I977" s="11"/>
      <c r="J977" s="11"/>
      <c r="K977" s="11"/>
      <c r="L977" s="15"/>
      <c r="M977" s="15"/>
      <c r="N977" s="15"/>
      <c r="O977" s="15"/>
      <c r="P977" s="15"/>
      <c r="Q977" s="11"/>
      <c r="R977" s="11"/>
      <c r="S977" s="11"/>
      <c r="T977" s="11"/>
      <c r="U977" s="15"/>
      <c r="V977" s="11"/>
      <c r="W977" s="11"/>
      <c r="X977" s="11"/>
      <c r="Y977" s="11"/>
      <c r="Z977" s="11"/>
    </row>
    <row r="978">
      <c r="A978" s="18"/>
      <c r="B978" s="11"/>
      <c r="C978" s="11"/>
      <c r="D978" s="11"/>
      <c r="E978" s="11"/>
      <c r="F978" s="11"/>
      <c r="G978" s="11"/>
      <c r="H978" s="11"/>
      <c r="I978" s="11"/>
      <c r="J978" s="11"/>
      <c r="K978" s="11"/>
      <c r="L978" s="15"/>
      <c r="M978" s="15"/>
      <c r="N978" s="15"/>
      <c r="O978" s="15"/>
      <c r="P978" s="15"/>
      <c r="Q978" s="11"/>
      <c r="R978" s="11"/>
      <c r="S978" s="11"/>
      <c r="T978" s="11"/>
      <c r="U978" s="15"/>
      <c r="V978" s="11"/>
      <c r="W978" s="11"/>
      <c r="X978" s="11"/>
      <c r="Y978" s="11"/>
      <c r="Z978" s="11"/>
    </row>
    <row r="979">
      <c r="A979" s="18"/>
      <c r="B979" s="11"/>
      <c r="C979" s="11"/>
      <c r="D979" s="11"/>
      <c r="E979" s="11"/>
      <c r="F979" s="11"/>
      <c r="G979" s="11"/>
      <c r="H979" s="11"/>
      <c r="I979" s="11"/>
      <c r="J979" s="11"/>
      <c r="K979" s="11"/>
      <c r="L979" s="15"/>
      <c r="M979" s="15"/>
      <c r="N979" s="15"/>
      <c r="O979" s="15"/>
      <c r="P979" s="15"/>
      <c r="Q979" s="11"/>
      <c r="R979" s="11"/>
      <c r="S979" s="11"/>
      <c r="T979" s="11"/>
      <c r="U979" s="15"/>
      <c r="V979" s="11"/>
      <c r="W979" s="11"/>
      <c r="X979" s="11"/>
      <c r="Y979" s="11"/>
      <c r="Z979" s="11"/>
    </row>
    <row r="980">
      <c r="A980" s="18"/>
      <c r="B980" s="11"/>
      <c r="C980" s="11"/>
      <c r="D980" s="11"/>
      <c r="E980" s="11"/>
      <c r="F980" s="11"/>
      <c r="G980" s="11"/>
      <c r="H980" s="11"/>
      <c r="I980" s="11"/>
      <c r="J980" s="11"/>
      <c r="K980" s="11"/>
      <c r="L980" s="15"/>
      <c r="M980" s="15"/>
      <c r="N980" s="15"/>
      <c r="O980" s="15"/>
      <c r="P980" s="15"/>
      <c r="Q980" s="11"/>
      <c r="R980" s="11"/>
      <c r="S980" s="11"/>
      <c r="T980" s="11"/>
      <c r="U980" s="15"/>
      <c r="V980" s="11"/>
      <c r="W980" s="11"/>
      <c r="X980" s="11"/>
      <c r="Y980" s="11"/>
      <c r="Z980" s="11"/>
    </row>
    <row r="981">
      <c r="A981" s="18"/>
      <c r="B981" s="11"/>
      <c r="C981" s="11"/>
      <c r="D981" s="11"/>
      <c r="E981" s="11"/>
      <c r="F981" s="11"/>
      <c r="G981" s="11"/>
      <c r="H981" s="11"/>
      <c r="I981" s="11"/>
      <c r="J981" s="11"/>
      <c r="K981" s="11"/>
      <c r="L981" s="15"/>
      <c r="M981" s="15"/>
      <c r="N981" s="15"/>
      <c r="O981" s="15"/>
      <c r="P981" s="15"/>
      <c r="Q981" s="11"/>
      <c r="R981" s="11"/>
      <c r="S981" s="11"/>
      <c r="T981" s="11"/>
      <c r="U981" s="15"/>
      <c r="V981" s="11"/>
      <c r="W981" s="11"/>
      <c r="X981" s="11"/>
      <c r="Y981" s="11"/>
      <c r="Z981" s="11"/>
    </row>
    <row r="982">
      <c r="A982" s="18"/>
      <c r="B982" s="11"/>
      <c r="C982" s="11"/>
      <c r="D982" s="11"/>
      <c r="E982" s="11"/>
      <c r="F982" s="11"/>
      <c r="G982" s="11"/>
      <c r="H982" s="11"/>
      <c r="I982" s="11"/>
      <c r="J982" s="11"/>
      <c r="K982" s="11"/>
      <c r="L982" s="15"/>
      <c r="M982" s="15"/>
      <c r="N982" s="15"/>
      <c r="O982" s="15"/>
      <c r="P982" s="15"/>
      <c r="Q982" s="11"/>
      <c r="R982" s="11"/>
      <c r="S982" s="11"/>
      <c r="T982" s="11"/>
      <c r="U982" s="15"/>
      <c r="V982" s="11"/>
      <c r="W982" s="11"/>
      <c r="X982" s="11"/>
      <c r="Y982" s="11"/>
      <c r="Z982" s="11"/>
    </row>
    <row r="983">
      <c r="A983" s="18"/>
      <c r="B983" s="11"/>
      <c r="C983" s="11"/>
      <c r="D983" s="11"/>
      <c r="E983" s="11"/>
      <c r="F983" s="11"/>
      <c r="G983" s="11"/>
      <c r="H983" s="11"/>
      <c r="I983" s="11"/>
      <c r="J983" s="11"/>
      <c r="K983" s="11"/>
      <c r="L983" s="15"/>
      <c r="M983" s="15"/>
      <c r="N983" s="15"/>
      <c r="O983" s="15"/>
      <c r="P983" s="15"/>
      <c r="Q983" s="11"/>
      <c r="R983" s="11"/>
      <c r="S983" s="11"/>
      <c r="T983" s="11"/>
      <c r="U983" s="15"/>
      <c r="V983" s="11"/>
      <c r="W983" s="11"/>
      <c r="X983" s="11"/>
      <c r="Y983" s="11"/>
      <c r="Z983" s="11"/>
    </row>
    <row r="984">
      <c r="A984" s="18"/>
      <c r="B984" s="11"/>
      <c r="C984" s="11"/>
      <c r="D984" s="11"/>
      <c r="E984" s="11"/>
      <c r="F984" s="11"/>
      <c r="G984" s="11"/>
      <c r="H984" s="11"/>
      <c r="I984" s="11"/>
      <c r="J984" s="11"/>
      <c r="K984" s="11"/>
      <c r="L984" s="15"/>
      <c r="M984" s="15"/>
      <c r="N984" s="15"/>
      <c r="O984" s="15"/>
      <c r="P984" s="15"/>
      <c r="Q984" s="11"/>
      <c r="R984" s="11"/>
      <c r="S984" s="11"/>
      <c r="T984" s="11"/>
      <c r="U984" s="15"/>
      <c r="V984" s="11"/>
      <c r="W984" s="11"/>
      <c r="X984" s="11"/>
      <c r="Y984" s="11"/>
      <c r="Z984" s="11"/>
    </row>
    <row r="985">
      <c r="A985" s="18"/>
      <c r="B985" s="11"/>
      <c r="C985" s="11"/>
      <c r="D985" s="11"/>
      <c r="E985" s="11"/>
      <c r="F985" s="11"/>
      <c r="G985" s="11"/>
      <c r="H985" s="11"/>
      <c r="I985" s="11"/>
      <c r="J985" s="11"/>
      <c r="K985" s="11"/>
      <c r="L985" s="15"/>
      <c r="M985" s="15"/>
      <c r="N985" s="15"/>
      <c r="O985" s="15"/>
      <c r="P985" s="15"/>
      <c r="Q985" s="11"/>
      <c r="R985" s="11"/>
      <c r="S985" s="11"/>
      <c r="T985" s="11"/>
      <c r="U985" s="15"/>
      <c r="V985" s="11"/>
      <c r="W985" s="11"/>
      <c r="X985" s="11"/>
      <c r="Y985" s="11"/>
      <c r="Z985" s="11"/>
    </row>
    <row r="986">
      <c r="A986" s="18"/>
      <c r="B986" s="11"/>
      <c r="C986" s="11"/>
      <c r="D986" s="11"/>
      <c r="E986" s="11"/>
      <c r="F986" s="11"/>
      <c r="G986" s="11"/>
      <c r="H986" s="11"/>
      <c r="I986" s="11"/>
      <c r="J986" s="11"/>
      <c r="K986" s="11"/>
      <c r="L986" s="15"/>
      <c r="M986" s="15"/>
      <c r="N986" s="15"/>
      <c r="O986" s="15"/>
      <c r="P986" s="15"/>
      <c r="Q986" s="11"/>
      <c r="R986" s="11"/>
      <c r="S986" s="11"/>
      <c r="T986" s="11"/>
      <c r="U986" s="15"/>
      <c r="V986" s="11"/>
      <c r="W986" s="11"/>
      <c r="X986" s="11"/>
      <c r="Y986" s="11"/>
      <c r="Z986" s="11"/>
    </row>
    <row r="987">
      <c r="A987" s="18"/>
      <c r="B987" s="11"/>
      <c r="C987" s="11"/>
      <c r="D987" s="11"/>
      <c r="E987" s="11"/>
      <c r="F987" s="11"/>
      <c r="G987" s="11"/>
      <c r="H987" s="11"/>
      <c r="I987" s="11"/>
      <c r="J987" s="11"/>
      <c r="K987" s="11"/>
      <c r="L987" s="15"/>
      <c r="M987" s="15"/>
      <c r="N987" s="15"/>
      <c r="O987" s="15"/>
      <c r="P987" s="15"/>
      <c r="Q987" s="11"/>
      <c r="R987" s="11"/>
      <c r="S987" s="11"/>
      <c r="T987" s="11"/>
      <c r="U987" s="15"/>
      <c r="V987" s="11"/>
      <c r="W987" s="11"/>
      <c r="X987" s="11"/>
      <c r="Y987" s="11"/>
      <c r="Z987" s="11"/>
    </row>
    <row r="988">
      <c r="A988" s="18"/>
      <c r="B988" s="11"/>
      <c r="C988" s="11"/>
      <c r="D988" s="11"/>
      <c r="E988" s="11"/>
      <c r="F988" s="11"/>
      <c r="G988" s="11"/>
      <c r="H988" s="11"/>
      <c r="I988" s="11"/>
      <c r="J988" s="11"/>
      <c r="K988" s="11"/>
      <c r="L988" s="15"/>
      <c r="M988" s="15"/>
      <c r="N988" s="15"/>
      <c r="O988" s="15"/>
      <c r="P988" s="15"/>
      <c r="Q988" s="11"/>
      <c r="R988" s="11"/>
      <c r="S988" s="11"/>
      <c r="T988" s="11"/>
      <c r="U988" s="15"/>
      <c r="V988" s="11"/>
      <c r="W988" s="11"/>
      <c r="X988" s="11"/>
      <c r="Y988" s="11"/>
      <c r="Z988" s="11"/>
    </row>
    <row r="989">
      <c r="A989" s="18"/>
      <c r="B989" s="11"/>
      <c r="C989" s="11"/>
      <c r="D989" s="11"/>
      <c r="E989" s="11"/>
      <c r="F989" s="11"/>
      <c r="G989" s="11"/>
      <c r="H989" s="11"/>
      <c r="I989" s="11"/>
      <c r="J989" s="11"/>
      <c r="K989" s="11"/>
      <c r="L989" s="15"/>
      <c r="M989" s="15"/>
      <c r="N989" s="15"/>
      <c r="O989" s="15"/>
      <c r="P989" s="15"/>
      <c r="Q989" s="11"/>
      <c r="R989" s="11"/>
      <c r="S989" s="11"/>
      <c r="T989" s="11"/>
      <c r="U989" s="15"/>
      <c r="V989" s="11"/>
      <c r="W989" s="11"/>
      <c r="X989" s="11"/>
      <c r="Y989" s="11"/>
      <c r="Z989" s="11"/>
    </row>
    <row r="990">
      <c r="A990" s="18"/>
      <c r="B990" s="11"/>
      <c r="C990" s="11"/>
      <c r="D990" s="11"/>
      <c r="E990" s="11"/>
      <c r="F990" s="11"/>
      <c r="G990" s="11"/>
      <c r="H990" s="11"/>
      <c r="I990" s="11"/>
      <c r="J990" s="11"/>
      <c r="K990" s="11"/>
      <c r="L990" s="15"/>
      <c r="M990" s="15"/>
      <c r="N990" s="15"/>
      <c r="O990" s="15"/>
      <c r="P990" s="15"/>
      <c r="Q990" s="11"/>
      <c r="R990" s="11"/>
      <c r="S990" s="11"/>
      <c r="T990" s="11"/>
      <c r="U990" s="15"/>
      <c r="V990" s="11"/>
      <c r="W990" s="11"/>
      <c r="X990" s="11"/>
      <c r="Y990" s="11"/>
      <c r="Z990" s="11"/>
    </row>
    <row r="991">
      <c r="A991" s="18"/>
      <c r="B991" s="11"/>
      <c r="C991" s="11"/>
      <c r="D991" s="11"/>
      <c r="E991" s="11"/>
      <c r="F991" s="11"/>
      <c r="G991" s="11"/>
      <c r="H991" s="11"/>
      <c r="I991" s="11"/>
      <c r="J991" s="11"/>
      <c r="K991" s="11"/>
      <c r="L991" s="15"/>
      <c r="M991" s="15"/>
      <c r="N991" s="15"/>
      <c r="O991" s="15"/>
      <c r="P991" s="15"/>
      <c r="Q991" s="11"/>
      <c r="R991" s="11"/>
      <c r="S991" s="11"/>
      <c r="T991" s="11"/>
      <c r="U991" s="15"/>
      <c r="V991" s="11"/>
      <c r="W991" s="11"/>
      <c r="X991" s="11"/>
      <c r="Y991" s="11"/>
      <c r="Z991" s="11"/>
    </row>
    <row r="992">
      <c r="A992" s="18"/>
      <c r="B992" s="11"/>
      <c r="C992" s="11"/>
      <c r="D992" s="11"/>
      <c r="E992" s="11"/>
      <c r="F992" s="11"/>
      <c r="G992" s="11"/>
      <c r="H992" s="11"/>
      <c r="I992" s="11"/>
      <c r="J992" s="11"/>
      <c r="K992" s="11"/>
      <c r="L992" s="15"/>
      <c r="M992" s="15"/>
      <c r="N992" s="15"/>
      <c r="O992" s="15"/>
      <c r="P992" s="15"/>
      <c r="Q992" s="11"/>
      <c r="R992" s="11"/>
      <c r="S992" s="11"/>
      <c r="T992" s="11"/>
      <c r="U992" s="15"/>
      <c r="V992" s="11"/>
      <c r="W992" s="11"/>
      <c r="X992" s="11"/>
      <c r="Y992" s="11"/>
      <c r="Z992" s="11"/>
    </row>
    <row r="993">
      <c r="A993" s="18"/>
      <c r="B993" s="11"/>
      <c r="C993" s="11"/>
      <c r="D993" s="11"/>
      <c r="E993" s="11"/>
      <c r="F993" s="11"/>
      <c r="G993" s="11"/>
      <c r="H993" s="11"/>
      <c r="I993" s="11"/>
      <c r="J993" s="11"/>
      <c r="K993" s="11"/>
      <c r="L993" s="15"/>
      <c r="M993" s="15"/>
      <c r="N993" s="15"/>
      <c r="O993" s="15"/>
      <c r="P993" s="15"/>
      <c r="Q993" s="11"/>
      <c r="R993" s="11"/>
      <c r="S993" s="11"/>
      <c r="T993" s="11"/>
      <c r="U993" s="15"/>
      <c r="V993" s="11"/>
      <c r="W993" s="11"/>
      <c r="X993" s="11"/>
      <c r="Y993" s="11"/>
      <c r="Z993" s="11"/>
    </row>
    <row r="994">
      <c r="A994" s="18"/>
      <c r="B994" s="11"/>
      <c r="C994" s="11"/>
      <c r="D994" s="11"/>
      <c r="E994" s="11"/>
      <c r="F994" s="11"/>
      <c r="G994" s="11"/>
      <c r="H994" s="11"/>
      <c r="I994" s="11"/>
      <c r="J994" s="11"/>
      <c r="K994" s="11"/>
      <c r="L994" s="15"/>
      <c r="M994" s="15"/>
      <c r="N994" s="15"/>
      <c r="O994" s="15"/>
      <c r="P994" s="15"/>
      <c r="Q994" s="11"/>
      <c r="R994" s="11"/>
      <c r="S994" s="11"/>
      <c r="T994" s="11"/>
      <c r="U994" s="15"/>
      <c r="V994" s="11"/>
      <c r="W994" s="11"/>
      <c r="X994" s="11"/>
      <c r="Y994" s="11"/>
      <c r="Z994" s="11"/>
    </row>
    <row r="995">
      <c r="A995" s="18"/>
      <c r="B995" s="11"/>
      <c r="C995" s="11"/>
      <c r="D995" s="11"/>
      <c r="E995" s="11"/>
      <c r="F995" s="11"/>
      <c r="G995" s="11"/>
      <c r="H995" s="11"/>
      <c r="I995" s="11"/>
      <c r="J995" s="11"/>
      <c r="K995" s="11"/>
      <c r="L995" s="15"/>
      <c r="M995" s="15"/>
      <c r="N995" s="15"/>
      <c r="O995" s="15"/>
      <c r="P995" s="15"/>
      <c r="Q995" s="11"/>
      <c r="R995" s="11"/>
      <c r="S995" s="11"/>
      <c r="T995" s="11"/>
      <c r="U995" s="15"/>
      <c r="V995" s="11"/>
      <c r="W995" s="11"/>
      <c r="X995" s="11"/>
      <c r="Y995" s="11"/>
      <c r="Z995" s="11"/>
    </row>
    <row r="996">
      <c r="A996" s="18"/>
      <c r="B996" s="11"/>
      <c r="C996" s="11"/>
      <c r="D996" s="11"/>
      <c r="E996" s="11"/>
      <c r="F996" s="11"/>
      <c r="G996" s="11"/>
      <c r="H996" s="11"/>
      <c r="I996" s="11"/>
      <c r="J996" s="11"/>
      <c r="K996" s="11"/>
      <c r="L996" s="15"/>
      <c r="M996" s="15"/>
      <c r="N996" s="15"/>
      <c r="O996" s="15"/>
      <c r="P996" s="15"/>
      <c r="Q996" s="11"/>
      <c r="R996" s="11"/>
      <c r="S996" s="11"/>
      <c r="T996" s="11"/>
      <c r="U996" s="15"/>
      <c r="V996" s="11"/>
      <c r="W996" s="11"/>
      <c r="X996" s="11"/>
      <c r="Y996" s="11"/>
      <c r="Z996" s="11"/>
    </row>
    <row r="997">
      <c r="A997" s="18"/>
      <c r="B997" s="11"/>
      <c r="C997" s="11"/>
      <c r="D997" s="11"/>
      <c r="E997" s="11"/>
      <c r="F997" s="11"/>
      <c r="G997" s="11"/>
      <c r="H997" s="11"/>
      <c r="I997" s="11"/>
      <c r="J997" s="11"/>
      <c r="K997" s="11"/>
      <c r="L997" s="15"/>
      <c r="M997" s="15"/>
      <c r="N997" s="15"/>
      <c r="O997" s="15"/>
      <c r="P997" s="15"/>
      <c r="Q997" s="11"/>
      <c r="R997" s="11"/>
      <c r="S997" s="11"/>
      <c r="T997" s="11"/>
      <c r="U997" s="15"/>
      <c r="V997" s="11"/>
      <c r="W997" s="11"/>
      <c r="X997" s="11"/>
      <c r="Y997" s="11"/>
      <c r="Z997" s="11"/>
    </row>
    <row r="998">
      <c r="A998" s="18"/>
      <c r="B998" s="11"/>
      <c r="C998" s="11"/>
      <c r="D998" s="11"/>
      <c r="E998" s="11"/>
      <c r="F998" s="11"/>
      <c r="G998" s="11"/>
      <c r="H998" s="11"/>
      <c r="I998" s="11"/>
      <c r="J998" s="11"/>
      <c r="K998" s="11"/>
      <c r="L998" s="15"/>
      <c r="M998" s="15"/>
      <c r="N998" s="15"/>
      <c r="O998" s="15"/>
      <c r="P998" s="15"/>
      <c r="Q998" s="11"/>
      <c r="R998" s="11"/>
      <c r="S998" s="11"/>
      <c r="T998" s="11"/>
      <c r="U998" s="15"/>
      <c r="V998" s="11"/>
      <c r="W998" s="11"/>
      <c r="X998" s="11"/>
      <c r="Y998" s="11"/>
      <c r="Z998" s="11"/>
    </row>
    <row r="999">
      <c r="A999" s="18"/>
      <c r="B999" s="11"/>
      <c r="C999" s="11"/>
      <c r="D999" s="11"/>
      <c r="E999" s="11"/>
      <c r="F999" s="11"/>
      <c r="G999" s="11"/>
      <c r="H999" s="11"/>
      <c r="I999" s="11"/>
      <c r="J999" s="11"/>
      <c r="K999" s="11"/>
      <c r="L999" s="15"/>
      <c r="M999" s="15"/>
      <c r="N999" s="15"/>
      <c r="O999" s="15"/>
      <c r="P999" s="15"/>
      <c r="Q999" s="11"/>
      <c r="R999" s="11"/>
      <c r="S999" s="11"/>
      <c r="T999" s="11"/>
      <c r="U999" s="15"/>
      <c r="V999" s="11"/>
      <c r="W999" s="11"/>
      <c r="X999" s="11"/>
      <c r="Y999" s="11"/>
      <c r="Z999" s="11"/>
    </row>
    <row r="1000">
      <c r="A1000" s="18"/>
      <c r="B1000" s="11"/>
      <c r="C1000" s="11"/>
      <c r="D1000" s="11"/>
      <c r="E1000" s="11"/>
      <c r="F1000" s="11"/>
      <c r="G1000" s="11"/>
      <c r="H1000" s="11"/>
      <c r="I1000" s="11"/>
      <c r="J1000" s="11"/>
      <c r="K1000" s="11"/>
      <c r="L1000" s="15"/>
      <c r="M1000" s="15"/>
      <c r="N1000" s="15"/>
      <c r="O1000" s="15"/>
      <c r="P1000" s="15"/>
      <c r="Q1000" s="11"/>
      <c r="R1000" s="11"/>
      <c r="S1000" s="11"/>
      <c r="T1000" s="11"/>
      <c r="U1000" s="15"/>
      <c r="V1000" s="11"/>
      <c r="W1000" s="11"/>
      <c r="X1000" s="11"/>
      <c r="Y1000" s="11"/>
      <c r="Z1000" s="11"/>
    </row>
    <row r="1001">
      <c r="A1001" s="18"/>
      <c r="B1001" s="11"/>
      <c r="C1001" s="11"/>
      <c r="D1001" s="11"/>
      <c r="E1001" s="11"/>
      <c r="F1001" s="11"/>
      <c r="G1001" s="11"/>
      <c r="H1001" s="11"/>
      <c r="I1001" s="11"/>
      <c r="J1001" s="11"/>
      <c r="K1001" s="11"/>
      <c r="L1001" s="15"/>
      <c r="M1001" s="15"/>
      <c r="N1001" s="15"/>
      <c r="O1001" s="15"/>
      <c r="P1001" s="15"/>
      <c r="Q1001" s="11"/>
      <c r="R1001" s="11"/>
      <c r="S1001" s="11"/>
      <c r="T1001" s="11"/>
      <c r="U1001" s="15"/>
      <c r="V1001" s="11"/>
      <c r="W1001" s="11"/>
      <c r="X1001" s="11"/>
      <c r="Y1001" s="11"/>
      <c r="Z1001" s="11"/>
    </row>
    <row r="1002">
      <c r="A1002" s="18"/>
      <c r="B1002" s="11"/>
      <c r="C1002" s="11"/>
      <c r="D1002" s="11"/>
      <c r="E1002" s="11"/>
      <c r="F1002" s="11"/>
      <c r="G1002" s="11"/>
      <c r="H1002" s="11"/>
      <c r="I1002" s="11"/>
      <c r="J1002" s="11"/>
      <c r="K1002" s="11"/>
      <c r="L1002" s="15"/>
      <c r="M1002" s="15"/>
      <c r="N1002" s="15"/>
      <c r="O1002" s="15"/>
      <c r="P1002" s="15"/>
      <c r="Q1002" s="11"/>
      <c r="R1002" s="11"/>
      <c r="S1002" s="11"/>
      <c r="T1002" s="11"/>
      <c r="U1002" s="15"/>
      <c r="V1002" s="11"/>
      <c r="W1002" s="11"/>
      <c r="X1002" s="11"/>
      <c r="Y1002" s="11"/>
      <c r="Z1002" s="11"/>
    </row>
    <row r="1003">
      <c r="A1003" s="18"/>
      <c r="B1003" s="11"/>
      <c r="C1003" s="11"/>
      <c r="D1003" s="11"/>
      <c r="E1003" s="11"/>
      <c r="F1003" s="11"/>
      <c r="G1003" s="11"/>
      <c r="H1003" s="11"/>
      <c r="I1003" s="11"/>
      <c r="J1003" s="11"/>
      <c r="K1003" s="11"/>
      <c r="L1003" s="15"/>
      <c r="M1003" s="15"/>
      <c r="N1003" s="15"/>
      <c r="O1003" s="15"/>
      <c r="P1003" s="15"/>
      <c r="Q1003" s="11"/>
      <c r="R1003" s="11"/>
      <c r="S1003" s="11"/>
      <c r="T1003" s="11"/>
      <c r="U1003" s="15"/>
      <c r="V1003" s="11"/>
      <c r="W1003" s="11"/>
      <c r="X1003" s="11"/>
      <c r="Y1003" s="11"/>
      <c r="Z1003" s="11"/>
    </row>
    <row r="1004">
      <c r="A1004" s="18"/>
      <c r="B1004" s="11"/>
      <c r="C1004" s="11"/>
      <c r="D1004" s="11"/>
      <c r="E1004" s="11"/>
      <c r="F1004" s="11"/>
      <c r="G1004" s="11"/>
      <c r="H1004" s="11"/>
      <c r="I1004" s="11"/>
      <c r="J1004" s="11"/>
      <c r="K1004" s="11"/>
      <c r="L1004" s="15"/>
      <c r="M1004" s="15"/>
      <c r="N1004" s="15"/>
      <c r="O1004" s="15"/>
      <c r="P1004" s="15"/>
      <c r="Q1004" s="11"/>
      <c r="R1004" s="11"/>
      <c r="S1004" s="11"/>
      <c r="T1004" s="11"/>
      <c r="U1004" s="15"/>
      <c r="V1004" s="11"/>
      <c r="W1004" s="11"/>
      <c r="X1004" s="11"/>
      <c r="Y1004" s="11"/>
      <c r="Z1004" s="11"/>
    </row>
    <row r="1005">
      <c r="A1005" s="18"/>
      <c r="B1005" s="11"/>
      <c r="C1005" s="11"/>
      <c r="D1005" s="11"/>
      <c r="E1005" s="11"/>
      <c r="F1005" s="11"/>
      <c r="G1005" s="11"/>
      <c r="H1005" s="11"/>
      <c r="I1005" s="11"/>
      <c r="J1005" s="11"/>
      <c r="K1005" s="11"/>
      <c r="L1005" s="15"/>
      <c r="M1005" s="15"/>
      <c r="N1005" s="15"/>
      <c r="O1005" s="15"/>
      <c r="P1005" s="15"/>
      <c r="Q1005" s="11"/>
      <c r="R1005" s="11"/>
      <c r="S1005" s="11"/>
      <c r="T1005" s="11"/>
      <c r="U1005" s="15"/>
      <c r="V1005" s="11"/>
      <c r="W1005" s="11"/>
      <c r="X1005" s="11"/>
      <c r="Y1005" s="11"/>
      <c r="Z1005" s="11"/>
    </row>
    <row r="1006">
      <c r="A1006" s="18"/>
      <c r="B1006" s="11"/>
      <c r="C1006" s="11"/>
      <c r="D1006" s="11"/>
      <c r="E1006" s="11"/>
      <c r="F1006" s="11"/>
      <c r="G1006" s="11"/>
      <c r="H1006" s="11"/>
      <c r="I1006" s="11"/>
      <c r="J1006" s="11"/>
      <c r="K1006" s="11"/>
      <c r="L1006" s="15"/>
      <c r="M1006" s="15"/>
      <c r="N1006" s="15"/>
      <c r="O1006" s="15"/>
      <c r="P1006" s="15"/>
      <c r="Q1006" s="11"/>
      <c r="R1006" s="11"/>
      <c r="S1006" s="11"/>
      <c r="T1006" s="11"/>
      <c r="U1006" s="15"/>
      <c r="V1006" s="11"/>
      <c r="W1006" s="11"/>
      <c r="X1006" s="11"/>
      <c r="Y1006" s="11"/>
      <c r="Z1006" s="11"/>
    </row>
    <row r="1007">
      <c r="A1007" s="18"/>
      <c r="B1007" s="11"/>
      <c r="C1007" s="11"/>
      <c r="D1007" s="11"/>
      <c r="E1007" s="11"/>
      <c r="F1007" s="11"/>
      <c r="G1007" s="11"/>
      <c r="H1007" s="11"/>
      <c r="I1007" s="11"/>
      <c r="J1007" s="11"/>
      <c r="K1007" s="11"/>
      <c r="L1007" s="15"/>
      <c r="M1007" s="15"/>
      <c r="N1007" s="15"/>
      <c r="O1007" s="15"/>
      <c r="P1007" s="15"/>
      <c r="Q1007" s="11"/>
      <c r="R1007" s="11"/>
      <c r="S1007" s="11"/>
      <c r="T1007" s="11"/>
      <c r="U1007" s="15"/>
      <c r="V1007" s="11"/>
      <c r="W1007" s="11"/>
      <c r="X1007" s="11"/>
      <c r="Y1007" s="11"/>
      <c r="Z1007" s="11"/>
    </row>
    <row r="1008">
      <c r="A1008" s="18"/>
      <c r="B1008" s="11"/>
      <c r="C1008" s="11"/>
      <c r="D1008" s="11"/>
      <c r="E1008" s="11"/>
      <c r="F1008" s="11"/>
      <c r="G1008" s="11"/>
      <c r="H1008" s="11"/>
      <c r="I1008" s="11"/>
      <c r="J1008" s="11"/>
      <c r="K1008" s="11"/>
      <c r="L1008" s="15"/>
      <c r="M1008" s="15"/>
      <c r="N1008" s="15"/>
      <c r="O1008" s="15"/>
      <c r="P1008" s="15"/>
      <c r="Q1008" s="11"/>
      <c r="R1008" s="11"/>
      <c r="S1008" s="11"/>
      <c r="T1008" s="11"/>
      <c r="U1008" s="15"/>
      <c r="V1008" s="11"/>
      <c r="W1008" s="11"/>
      <c r="X1008" s="11"/>
      <c r="Y1008" s="11"/>
      <c r="Z1008" s="11"/>
    </row>
    <row r="1009">
      <c r="A1009" s="18"/>
      <c r="B1009" s="11"/>
      <c r="C1009" s="11"/>
      <c r="D1009" s="11"/>
      <c r="E1009" s="11"/>
      <c r="F1009" s="11"/>
      <c r="G1009" s="11"/>
      <c r="H1009" s="11"/>
      <c r="I1009" s="11"/>
      <c r="J1009" s="11"/>
      <c r="K1009" s="11"/>
      <c r="L1009" s="15"/>
      <c r="M1009" s="15"/>
      <c r="N1009" s="15"/>
      <c r="O1009" s="15"/>
      <c r="P1009" s="15"/>
      <c r="Q1009" s="11"/>
      <c r="R1009" s="11"/>
      <c r="S1009" s="11"/>
      <c r="T1009" s="11"/>
      <c r="U1009" s="15"/>
      <c r="V1009" s="11"/>
      <c r="W1009" s="11"/>
      <c r="X1009" s="11"/>
      <c r="Y1009" s="11"/>
      <c r="Z1009" s="11"/>
    </row>
    <row r="1010">
      <c r="A1010" s="18"/>
      <c r="B1010" s="11"/>
      <c r="C1010" s="11"/>
      <c r="D1010" s="11"/>
      <c r="E1010" s="11"/>
      <c r="F1010" s="11"/>
      <c r="G1010" s="11"/>
      <c r="H1010" s="11"/>
      <c r="I1010" s="11"/>
      <c r="J1010" s="11"/>
      <c r="K1010" s="11"/>
      <c r="L1010" s="15"/>
      <c r="M1010" s="15"/>
      <c r="N1010" s="15"/>
      <c r="O1010" s="15"/>
      <c r="P1010" s="15"/>
      <c r="Q1010" s="11"/>
      <c r="R1010" s="11"/>
      <c r="S1010" s="11"/>
      <c r="T1010" s="11"/>
      <c r="U1010" s="15"/>
      <c r="V1010" s="11"/>
      <c r="W1010" s="11"/>
      <c r="X1010" s="11"/>
      <c r="Y1010" s="11"/>
      <c r="Z1010" s="11"/>
    </row>
    <row r="1011">
      <c r="A1011" s="18"/>
      <c r="B1011" s="11"/>
      <c r="C1011" s="11"/>
      <c r="D1011" s="11"/>
      <c r="E1011" s="11"/>
      <c r="F1011" s="11"/>
      <c r="G1011" s="11"/>
      <c r="H1011" s="11"/>
      <c r="I1011" s="11"/>
      <c r="J1011" s="11"/>
      <c r="K1011" s="11"/>
      <c r="L1011" s="15"/>
      <c r="M1011" s="15"/>
      <c r="N1011" s="15"/>
      <c r="O1011" s="15"/>
      <c r="P1011" s="15"/>
      <c r="Q1011" s="11"/>
      <c r="R1011" s="11"/>
      <c r="S1011" s="11"/>
      <c r="T1011" s="11"/>
      <c r="U1011" s="15"/>
      <c r="V1011" s="11"/>
      <c r="W1011" s="11"/>
      <c r="X1011" s="11"/>
      <c r="Y1011" s="11"/>
      <c r="Z1011" s="11"/>
    </row>
    <row r="1012">
      <c r="A1012" s="18"/>
      <c r="B1012" s="11"/>
      <c r="C1012" s="11"/>
      <c r="D1012" s="11"/>
      <c r="E1012" s="11"/>
      <c r="F1012" s="11"/>
      <c r="G1012" s="11"/>
      <c r="H1012" s="11"/>
      <c r="I1012" s="11"/>
      <c r="J1012" s="11"/>
      <c r="K1012" s="11"/>
      <c r="L1012" s="15"/>
      <c r="M1012" s="15"/>
      <c r="N1012" s="15"/>
      <c r="O1012" s="15"/>
      <c r="P1012" s="15"/>
      <c r="Q1012" s="11"/>
      <c r="R1012" s="11"/>
      <c r="S1012" s="11"/>
      <c r="T1012" s="11"/>
      <c r="U1012" s="15"/>
      <c r="V1012" s="11"/>
      <c r="W1012" s="11"/>
      <c r="X1012" s="11"/>
      <c r="Y1012" s="11"/>
      <c r="Z1012" s="11"/>
    </row>
    <row r="1013">
      <c r="A1013" s="18"/>
      <c r="B1013" s="11"/>
      <c r="C1013" s="11"/>
      <c r="D1013" s="11"/>
      <c r="E1013" s="11"/>
      <c r="F1013" s="11"/>
      <c r="G1013" s="11"/>
      <c r="H1013" s="11"/>
      <c r="I1013" s="11"/>
      <c r="J1013" s="11"/>
      <c r="K1013" s="11"/>
      <c r="L1013" s="15"/>
      <c r="M1013" s="15"/>
      <c r="N1013" s="15"/>
      <c r="O1013" s="15"/>
      <c r="P1013" s="15"/>
      <c r="Q1013" s="11"/>
      <c r="R1013" s="11"/>
      <c r="S1013" s="11"/>
      <c r="T1013" s="11"/>
      <c r="U1013" s="15"/>
      <c r="V1013" s="11"/>
      <c r="W1013" s="11"/>
      <c r="X1013" s="11"/>
      <c r="Y1013" s="11"/>
      <c r="Z1013" s="11"/>
    </row>
    <row r="1014">
      <c r="A1014" s="18"/>
      <c r="B1014" s="11"/>
      <c r="C1014" s="11"/>
      <c r="D1014" s="11"/>
      <c r="E1014" s="11"/>
      <c r="F1014" s="11"/>
      <c r="G1014" s="11"/>
      <c r="H1014" s="11"/>
      <c r="I1014" s="11"/>
      <c r="J1014" s="11"/>
      <c r="K1014" s="11"/>
      <c r="L1014" s="15"/>
      <c r="M1014" s="15"/>
      <c r="N1014" s="15"/>
      <c r="O1014" s="15"/>
      <c r="P1014" s="15"/>
      <c r="Q1014" s="11"/>
      <c r="R1014" s="11"/>
      <c r="S1014" s="11"/>
      <c r="T1014" s="11"/>
      <c r="U1014" s="15"/>
      <c r="V1014" s="11"/>
      <c r="W1014" s="11"/>
      <c r="X1014" s="11"/>
      <c r="Y1014" s="11"/>
      <c r="Z1014" s="11"/>
    </row>
    <row r="1015">
      <c r="A1015" s="18"/>
      <c r="B1015" s="11"/>
      <c r="C1015" s="11"/>
      <c r="D1015" s="11"/>
      <c r="E1015" s="11"/>
      <c r="F1015" s="11"/>
      <c r="G1015" s="11"/>
      <c r="H1015" s="11"/>
      <c r="I1015" s="11"/>
      <c r="J1015" s="11"/>
      <c r="K1015" s="11"/>
      <c r="L1015" s="15"/>
      <c r="M1015" s="15"/>
      <c r="N1015" s="15"/>
      <c r="O1015" s="15"/>
      <c r="P1015" s="15"/>
      <c r="Q1015" s="11"/>
      <c r="R1015" s="11"/>
      <c r="S1015" s="11"/>
      <c r="T1015" s="11"/>
      <c r="U1015" s="15"/>
      <c r="V1015" s="11"/>
      <c r="W1015" s="11"/>
      <c r="X1015" s="11"/>
      <c r="Y1015" s="11"/>
      <c r="Z1015" s="11"/>
    </row>
    <row r="1016">
      <c r="A1016" s="18"/>
      <c r="B1016" s="11"/>
      <c r="C1016" s="11"/>
      <c r="D1016" s="11"/>
      <c r="E1016" s="11"/>
      <c r="F1016" s="11"/>
      <c r="G1016" s="11"/>
      <c r="H1016" s="11"/>
      <c r="I1016" s="11"/>
      <c r="J1016" s="11"/>
      <c r="K1016" s="11"/>
      <c r="L1016" s="15"/>
      <c r="M1016" s="15"/>
      <c r="N1016" s="15"/>
      <c r="O1016" s="15"/>
      <c r="P1016" s="15"/>
      <c r="Q1016" s="11"/>
      <c r="R1016" s="11"/>
      <c r="S1016" s="11"/>
      <c r="T1016" s="11"/>
      <c r="U1016" s="15"/>
      <c r="V1016" s="11"/>
      <c r="W1016" s="11"/>
      <c r="X1016" s="11"/>
      <c r="Y1016" s="11"/>
      <c r="Z1016" s="11"/>
    </row>
    <row r="1017">
      <c r="A1017" s="18"/>
      <c r="B1017" s="11"/>
      <c r="C1017" s="11"/>
      <c r="D1017" s="11"/>
      <c r="E1017" s="11"/>
      <c r="F1017" s="11"/>
      <c r="G1017" s="11"/>
      <c r="H1017" s="11"/>
      <c r="I1017" s="11"/>
      <c r="J1017" s="11"/>
      <c r="K1017" s="11"/>
      <c r="L1017" s="15"/>
      <c r="M1017" s="15"/>
      <c r="N1017" s="15"/>
      <c r="O1017" s="15"/>
      <c r="P1017" s="15"/>
      <c r="Q1017" s="11"/>
      <c r="R1017" s="11"/>
      <c r="S1017" s="11"/>
      <c r="T1017" s="11"/>
      <c r="U1017" s="15"/>
      <c r="V1017" s="11"/>
      <c r="W1017" s="11"/>
      <c r="X1017" s="11"/>
      <c r="Y1017" s="11"/>
      <c r="Z1017" s="11"/>
    </row>
    <row r="1018">
      <c r="A1018" s="18"/>
      <c r="B1018" s="11"/>
      <c r="C1018" s="11"/>
      <c r="D1018" s="11"/>
      <c r="E1018" s="11"/>
      <c r="F1018" s="11"/>
      <c r="G1018" s="11"/>
      <c r="H1018" s="11"/>
      <c r="I1018" s="11"/>
      <c r="J1018" s="11"/>
      <c r="K1018" s="11"/>
      <c r="L1018" s="15"/>
      <c r="M1018" s="15"/>
      <c r="N1018" s="15"/>
      <c r="O1018" s="15"/>
      <c r="P1018" s="15"/>
      <c r="Q1018" s="11"/>
      <c r="R1018" s="11"/>
      <c r="S1018" s="11"/>
      <c r="T1018" s="11"/>
      <c r="U1018" s="15"/>
      <c r="V1018" s="11"/>
      <c r="W1018" s="11"/>
      <c r="X1018" s="11"/>
      <c r="Y1018" s="11"/>
      <c r="Z1018" s="11"/>
    </row>
    <row r="1019">
      <c r="A1019" s="18"/>
      <c r="B1019" s="11"/>
      <c r="C1019" s="11"/>
      <c r="D1019" s="11"/>
      <c r="E1019" s="11"/>
      <c r="F1019" s="11"/>
      <c r="G1019" s="11"/>
      <c r="H1019" s="11"/>
      <c r="I1019" s="11"/>
      <c r="J1019" s="11"/>
      <c r="K1019" s="11"/>
      <c r="L1019" s="15"/>
      <c r="M1019" s="15"/>
      <c r="N1019" s="15"/>
      <c r="O1019" s="15"/>
      <c r="P1019" s="15"/>
      <c r="Q1019" s="11"/>
      <c r="R1019" s="11"/>
      <c r="S1019" s="11"/>
      <c r="T1019" s="11"/>
      <c r="U1019" s="15"/>
      <c r="V1019" s="11"/>
      <c r="W1019" s="11"/>
      <c r="X1019" s="11"/>
      <c r="Y1019" s="11"/>
      <c r="Z1019" s="11"/>
    </row>
    <row r="1020">
      <c r="A1020" s="18"/>
      <c r="B1020" s="11"/>
      <c r="C1020" s="11"/>
      <c r="D1020" s="11"/>
      <c r="E1020" s="11"/>
      <c r="F1020" s="11"/>
      <c r="G1020" s="11"/>
      <c r="H1020" s="11"/>
      <c r="I1020" s="11"/>
      <c r="J1020" s="11"/>
      <c r="K1020" s="11"/>
      <c r="L1020" s="15"/>
      <c r="M1020" s="15"/>
      <c r="N1020" s="15"/>
      <c r="O1020" s="15"/>
      <c r="P1020" s="15"/>
      <c r="Q1020" s="11"/>
      <c r="R1020" s="11"/>
      <c r="S1020" s="11"/>
      <c r="T1020" s="11"/>
      <c r="U1020" s="15"/>
      <c r="V1020" s="11"/>
      <c r="W1020" s="11"/>
      <c r="X1020" s="11"/>
      <c r="Y1020" s="11"/>
      <c r="Z1020" s="11"/>
    </row>
    <row r="1021">
      <c r="A1021" s="18"/>
      <c r="B1021" s="11"/>
      <c r="C1021" s="11"/>
      <c r="D1021" s="11"/>
      <c r="E1021" s="11"/>
      <c r="F1021" s="11"/>
      <c r="G1021" s="11"/>
      <c r="H1021" s="11"/>
      <c r="I1021" s="11"/>
      <c r="J1021" s="11"/>
      <c r="K1021" s="11"/>
      <c r="L1021" s="15"/>
      <c r="M1021" s="15"/>
      <c r="N1021" s="15"/>
      <c r="O1021" s="15"/>
      <c r="P1021" s="15"/>
      <c r="Q1021" s="11"/>
      <c r="R1021" s="11"/>
      <c r="S1021" s="11"/>
      <c r="T1021" s="11"/>
      <c r="U1021" s="15"/>
      <c r="V1021" s="11"/>
      <c r="W1021" s="11"/>
      <c r="X1021" s="11"/>
      <c r="Y1021" s="11"/>
      <c r="Z1021" s="11"/>
    </row>
    <row r="1022">
      <c r="A1022" s="18"/>
      <c r="B1022" s="11"/>
      <c r="C1022" s="11"/>
      <c r="D1022" s="11"/>
      <c r="E1022" s="11"/>
      <c r="F1022" s="11"/>
      <c r="G1022" s="11"/>
      <c r="H1022" s="11"/>
      <c r="I1022" s="11"/>
      <c r="J1022" s="11"/>
      <c r="K1022" s="11"/>
      <c r="L1022" s="15"/>
      <c r="M1022" s="15"/>
      <c r="N1022" s="15"/>
      <c r="O1022" s="15"/>
      <c r="P1022" s="15"/>
      <c r="Q1022" s="11"/>
      <c r="R1022" s="11"/>
      <c r="S1022" s="11"/>
      <c r="T1022" s="11"/>
      <c r="U1022" s="15"/>
      <c r="V1022" s="11"/>
      <c r="W1022" s="11"/>
      <c r="X1022" s="11"/>
      <c r="Y1022" s="11"/>
      <c r="Z1022" s="11"/>
    </row>
    <row r="1023">
      <c r="A1023" s="18"/>
      <c r="B1023" s="11"/>
      <c r="C1023" s="11"/>
      <c r="D1023" s="11"/>
      <c r="E1023" s="11"/>
      <c r="F1023" s="11"/>
      <c r="G1023" s="11"/>
      <c r="H1023" s="11"/>
      <c r="I1023" s="11"/>
      <c r="J1023" s="11"/>
      <c r="K1023" s="11"/>
      <c r="L1023" s="15"/>
      <c r="M1023" s="15"/>
      <c r="N1023" s="15"/>
      <c r="O1023" s="15"/>
      <c r="P1023" s="15"/>
      <c r="Q1023" s="11"/>
      <c r="R1023" s="11"/>
      <c r="S1023" s="11"/>
      <c r="T1023" s="11"/>
      <c r="U1023" s="15"/>
      <c r="V1023" s="11"/>
      <c r="W1023" s="11"/>
      <c r="X1023" s="11"/>
      <c r="Y1023" s="11"/>
      <c r="Z1023" s="11"/>
    </row>
    <row r="1024">
      <c r="A1024" s="18"/>
      <c r="B1024" s="11"/>
      <c r="C1024" s="11"/>
      <c r="D1024" s="11"/>
      <c r="E1024" s="11"/>
      <c r="F1024" s="11"/>
      <c r="G1024" s="11"/>
      <c r="H1024" s="11"/>
      <c r="I1024" s="11"/>
      <c r="J1024" s="11"/>
      <c r="K1024" s="11"/>
      <c r="L1024" s="15"/>
      <c r="M1024" s="15"/>
      <c r="N1024" s="15"/>
      <c r="O1024" s="15"/>
      <c r="P1024" s="15"/>
      <c r="Q1024" s="11"/>
      <c r="R1024" s="11"/>
      <c r="S1024" s="11"/>
      <c r="T1024" s="11"/>
      <c r="U1024" s="15"/>
      <c r="V1024" s="11"/>
      <c r="W1024" s="11"/>
      <c r="X1024" s="11"/>
      <c r="Y1024" s="11"/>
      <c r="Z1024" s="11"/>
    </row>
    <row r="1025">
      <c r="A1025" s="18"/>
      <c r="B1025" s="11"/>
      <c r="C1025" s="11"/>
      <c r="D1025" s="11"/>
      <c r="E1025" s="11"/>
      <c r="F1025" s="11"/>
      <c r="G1025" s="11"/>
      <c r="H1025" s="11"/>
      <c r="I1025" s="11"/>
      <c r="J1025" s="11"/>
      <c r="K1025" s="11"/>
      <c r="L1025" s="15"/>
      <c r="M1025" s="15"/>
      <c r="N1025" s="15"/>
      <c r="O1025" s="15"/>
      <c r="P1025" s="15"/>
      <c r="Q1025" s="11"/>
      <c r="R1025" s="11"/>
      <c r="S1025" s="11"/>
      <c r="T1025" s="11"/>
      <c r="U1025" s="15"/>
      <c r="V1025" s="11"/>
      <c r="W1025" s="11"/>
      <c r="X1025" s="11"/>
      <c r="Y1025" s="11"/>
      <c r="Z1025" s="11"/>
    </row>
    <row r="1026">
      <c r="A1026" s="18"/>
      <c r="B1026" s="11"/>
      <c r="C1026" s="11"/>
      <c r="D1026" s="11"/>
      <c r="E1026" s="11"/>
      <c r="F1026" s="11"/>
      <c r="G1026" s="11"/>
      <c r="H1026" s="11"/>
      <c r="I1026" s="11"/>
      <c r="J1026" s="11"/>
      <c r="K1026" s="11"/>
      <c r="L1026" s="15"/>
      <c r="M1026" s="15"/>
      <c r="N1026" s="15"/>
      <c r="O1026" s="15"/>
      <c r="P1026" s="15"/>
      <c r="Q1026" s="11"/>
      <c r="R1026" s="11"/>
      <c r="S1026" s="11"/>
      <c r="T1026" s="11"/>
      <c r="U1026" s="15"/>
      <c r="V1026" s="11"/>
      <c r="W1026" s="11"/>
      <c r="X1026" s="11"/>
      <c r="Y1026" s="11"/>
      <c r="Z1026" s="11"/>
    </row>
    <row r="1027">
      <c r="A1027" s="18"/>
      <c r="B1027" s="11"/>
      <c r="C1027" s="11"/>
      <c r="D1027" s="11"/>
      <c r="E1027" s="11"/>
      <c r="F1027" s="11"/>
      <c r="G1027" s="11"/>
      <c r="H1027" s="11"/>
      <c r="I1027" s="11"/>
      <c r="J1027" s="11"/>
      <c r="K1027" s="11"/>
      <c r="L1027" s="15"/>
      <c r="M1027" s="15"/>
      <c r="N1027" s="15"/>
      <c r="O1027" s="15"/>
      <c r="P1027" s="15"/>
      <c r="Q1027" s="11"/>
      <c r="R1027" s="11"/>
      <c r="S1027" s="11"/>
      <c r="T1027" s="11"/>
      <c r="U1027" s="15"/>
      <c r="V1027" s="11"/>
      <c r="W1027" s="11"/>
      <c r="X1027" s="11"/>
      <c r="Y1027" s="11"/>
      <c r="Z1027" s="11"/>
    </row>
    <row r="1028">
      <c r="A1028" s="18"/>
      <c r="B1028" s="11"/>
      <c r="C1028" s="11"/>
      <c r="D1028" s="11"/>
      <c r="E1028" s="11"/>
      <c r="F1028" s="11"/>
      <c r="G1028" s="11"/>
      <c r="H1028" s="11"/>
      <c r="I1028" s="11"/>
      <c r="J1028" s="11"/>
      <c r="K1028" s="11"/>
      <c r="L1028" s="15"/>
      <c r="M1028" s="15"/>
      <c r="N1028" s="15"/>
      <c r="O1028" s="15"/>
      <c r="P1028" s="15"/>
      <c r="Q1028" s="11"/>
      <c r="R1028" s="11"/>
      <c r="S1028" s="11"/>
      <c r="T1028" s="11"/>
      <c r="U1028" s="15"/>
      <c r="V1028" s="11"/>
      <c r="W1028" s="11"/>
      <c r="X1028" s="11"/>
      <c r="Y1028" s="11"/>
      <c r="Z1028" s="11"/>
    </row>
    <row r="1029">
      <c r="A1029" s="18"/>
      <c r="B1029" s="11"/>
      <c r="C1029" s="11"/>
      <c r="D1029" s="11"/>
      <c r="E1029" s="11"/>
      <c r="F1029" s="11"/>
      <c r="G1029" s="11"/>
      <c r="H1029" s="11"/>
      <c r="I1029" s="11"/>
      <c r="J1029" s="11"/>
      <c r="K1029" s="11"/>
      <c r="L1029" s="15"/>
      <c r="M1029" s="15"/>
      <c r="N1029" s="15"/>
      <c r="O1029" s="15"/>
      <c r="P1029" s="15"/>
      <c r="Q1029" s="11"/>
      <c r="R1029" s="11"/>
      <c r="S1029" s="11"/>
      <c r="T1029" s="11"/>
      <c r="U1029" s="15"/>
      <c r="V1029" s="11"/>
      <c r="W1029" s="11"/>
      <c r="X1029" s="11"/>
      <c r="Y1029" s="11"/>
      <c r="Z1029" s="11"/>
    </row>
    <row r="1030">
      <c r="A1030" s="18"/>
      <c r="B1030" s="11"/>
      <c r="C1030" s="11"/>
      <c r="D1030" s="11"/>
      <c r="E1030" s="11"/>
      <c r="F1030" s="11"/>
      <c r="G1030" s="11"/>
      <c r="H1030" s="11"/>
      <c r="I1030" s="11"/>
      <c r="J1030" s="11"/>
      <c r="K1030" s="11"/>
      <c r="L1030" s="15"/>
      <c r="M1030" s="15"/>
      <c r="N1030" s="15"/>
      <c r="O1030" s="15"/>
      <c r="P1030" s="15"/>
      <c r="Q1030" s="11"/>
      <c r="R1030" s="11"/>
      <c r="S1030" s="11"/>
      <c r="T1030" s="11"/>
      <c r="U1030" s="15"/>
      <c r="V1030" s="11"/>
      <c r="W1030" s="11"/>
      <c r="X1030" s="11"/>
      <c r="Y1030" s="11"/>
      <c r="Z1030" s="11"/>
    </row>
    <row r="1031">
      <c r="A1031" s="18"/>
      <c r="B1031" s="11"/>
      <c r="C1031" s="11"/>
      <c r="D1031" s="11"/>
      <c r="E1031" s="11"/>
      <c r="F1031" s="11"/>
      <c r="G1031" s="11"/>
      <c r="H1031" s="11"/>
      <c r="I1031" s="11"/>
      <c r="J1031" s="11"/>
      <c r="K1031" s="11"/>
      <c r="L1031" s="15"/>
      <c r="M1031" s="15"/>
      <c r="N1031" s="15"/>
      <c r="O1031" s="15"/>
      <c r="P1031" s="15"/>
      <c r="Q1031" s="11"/>
      <c r="R1031" s="11"/>
      <c r="S1031" s="11"/>
      <c r="T1031" s="11"/>
      <c r="U1031" s="15"/>
      <c r="V1031" s="11"/>
      <c r="W1031" s="11"/>
      <c r="X1031" s="11"/>
      <c r="Y1031" s="11"/>
      <c r="Z1031" s="11"/>
    </row>
    <row r="1032">
      <c r="A1032" s="18"/>
      <c r="B1032" s="11"/>
      <c r="C1032" s="11"/>
      <c r="D1032" s="11"/>
      <c r="E1032" s="11"/>
      <c r="F1032" s="11"/>
      <c r="G1032" s="11"/>
      <c r="H1032" s="11"/>
      <c r="I1032" s="11"/>
      <c r="J1032" s="11"/>
      <c r="K1032" s="11"/>
      <c r="L1032" s="15"/>
      <c r="M1032" s="15"/>
      <c r="N1032" s="15"/>
      <c r="O1032" s="15"/>
      <c r="P1032" s="15"/>
      <c r="Q1032" s="11"/>
      <c r="R1032" s="11"/>
      <c r="S1032" s="11"/>
      <c r="T1032" s="11"/>
      <c r="U1032" s="15"/>
      <c r="V1032" s="11"/>
      <c r="W1032" s="11"/>
      <c r="X1032" s="11"/>
      <c r="Y1032" s="11"/>
      <c r="Z1032" s="11"/>
    </row>
    <row r="1033">
      <c r="A1033" s="18"/>
      <c r="B1033" s="11"/>
      <c r="C1033" s="11"/>
      <c r="D1033" s="11"/>
      <c r="E1033" s="11"/>
      <c r="F1033" s="11"/>
      <c r="G1033" s="11"/>
      <c r="H1033" s="11"/>
      <c r="I1033" s="11"/>
      <c r="J1033" s="11"/>
      <c r="K1033" s="11"/>
      <c r="L1033" s="15"/>
      <c r="M1033" s="15"/>
      <c r="N1033" s="15"/>
      <c r="O1033" s="15"/>
      <c r="P1033" s="15"/>
      <c r="Q1033" s="11"/>
      <c r="R1033" s="11"/>
      <c r="S1033" s="11"/>
      <c r="T1033" s="11"/>
      <c r="U1033" s="15"/>
      <c r="V1033" s="11"/>
      <c r="W1033" s="11"/>
      <c r="X1033" s="11"/>
      <c r="Y1033" s="11"/>
      <c r="Z1033" s="11"/>
    </row>
    <row r="1034">
      <c r="A1034" s="18"/>
      <c r="B1034" s="11"/>
      <c r="C1034" s="11"/>
      <c r="D1034" s="11"/>
      <c r="E1034" s="11"/>
      <c r="F1034" s="11"/>
      <c r="G1034" s="11"/>
      <c r="H1034" s="11"/>
      <c r="I1034" s="11"/>
      <c r="J1034" s="11"/>
      <c r="K1034" s="11"/>
      <c r="L1034" s="15"/>
      <c r="M1034" s="15"/>
      <c r="N1034" s="15"/>
      <c r="O1034" s="15"/>
      <c r="P1034" s="15"/>
      <c r="Q1034" s="11"/>
      <c r="R1034" s="11"/>
      <c r="S1034" s="11"/>
      <c r="T1034" s="11"/>
      <c r="U1034" s="15"/>
      <c r="V1034" s="11"/>
      <c r="W1034" s="11"/>
      <c r="X1034" s="11"/>
      <c r="Y1034" s="11"/>
      <c r="Z1034" s="11"/>
    </row>
    <row r="1035">
      <c r="A1035" s="18"/>
      <c r="B1035" s="11"/>
      <c r="C1035" s="11"/>
      <c r="D1035" s="11"/>
      <c r="E1035" s="11"/>
      <c r="F1035" s="11"/>
      <c r="G1035" s="11"/>
      <c r="H1035" s="11"/>
      <c r="I1035" s="11"/>
      <c r="J1035" s="11"/>
      <c r="K1035" s="11"/>
      <c r="L1035" s="15"/>
      <c r="M1035" s="15"/>
      <c r="N1035" s="15"/>
      <c r="O1035" s="15"/>
      <c r="P1035" s="15"/>
      <c r="Q1035" s="11"/>
      <c r="R1035" s="11"/>
      <c r="S1035" s="11"/>
      <c r="T1035" s="11"/>
      <c r="U1035" s="15"/>
      <c r="V1035" s="11"/>
      <c r="W1035" s="11"/>
      <c r="X1035" s="11"/>
      <c r="Y1035" s="11"/>
      <c r="Z1035" s="11"/>
    </row>
    <row r="1036">
      <c r="A1036" s="18"/>
      <c r="B1036" s="11"/>
      <c r="C1036" s="11"/>
      <c r="D1036" s="11"/>
      <c r="E1036" s="11"/>
      <c r="F1036" s="11"/>
      <c r="G1036" s="11"/>
      <c r="H1036" s="11"/>
      <c r="I1036" s="11"/>
      <c r="J1036" s="11"/>
      <c r="K1036" s="11"/>
      <c r="L1036" s="15"/>
      <c r="M1036" s="15"/>
      <c r="N1036" s="15"/>
      <c r="O1036" s="15"/>
      <c r="P1036" s="15"/>
      <c r="Q1036" s="11"/>
      <c r="R1036" s="11"/>
      <c r="S1036" s="11"/>
      <c r="T1036" s="11"/>
      <c r="U1036" s="15"/>
      <c r="V1036" s="11"/>
      <c r="W1036" s="11"/>
      <c r="X1036" s="11"/>
      <c r="Y1036" s="11"/>
      <c r="Z1036" s="11"/>
    </row>
    <row r="1037">
      <c r="A1037" s="18"/>
      <c r="B1037" s="11"/>
      <c r="C1037" s="11"/>
      <c r="D1037" s="11"/>
      <c r="E1037" s="11"/>
      <c r="F1037" s="11"/>
      <c r="G1037" s="11"/>
      <c r="H1037" s="11"/>
      <c r="I1037" s="11"/>
      <c r="J1037" s="11"/>
      <c r="K1037" s="11"/>
      <c r="L1037" s="15"/>
      <c r="M1037" s="15"/>
      <c r="N1037" s="15"/>
      <c r="O1037" s="15"/>
      <c r="P1037" s="15"/>
      <c r="Q1037" s="11"/>
      <c r="R1037" s="11"/>
      <c r="S1037" s="11"/>
      <c r="T1037" s="11"/>
      <c r="U1037" s="15"/>
      <c r="V1037" s="11"/>
      <c r="W1037" s="11"/>
      <c r="X1037" s="11"/>
      <c r="Y1037" s="11"/>
      <c r="Z1037" s="11"/>
    </row>
    <row r="1038">
      <c r="A1038" s="18"/>
      <c r="B1038" s="11"/>
      <c r="C1038" s="11"/>
      <c r="D1038" s="11"/>
      <c r="E1038" s="11"/>
      <c r="F1038" s="11"/>
      <c r="G1038" s="11"/>
      <c r="H1038" s="11"/>
      <c r="I1038" s="11"/>
      <c r="J1038" s="11"/>
      <c r="K1038" s="11"/>
      <c r="L1038" s="15"/>
      <c r="M1038" s="15"/>
      <c r="N1038" s="15"/>
      <c r="O1038" s="15"/>
      <c r="P1038" s="15"/>
      <c r="Q1038" s="11"/>
      <c r="R1038" s="11"/>
      <c r="S1038" s="11"/>
      <c r="T1038" s="11"/>
      <c r="U1038" s="15"/>
      <c r="V1038" s="11"/>
      <c r="W1038" s="11"/>
      <c r="X1038" s="11"/>
      <c r="Y1038" s="11"/>
      <c r="Z1038" s="11"/>
    </row>
    <row r="1039">
      <c r="A1039" s="18"/>
      <c r="B1039" s="11"/>
      <c r="C1039" s="11"/>
      <c r="D1039" s="11"/>
      <c r="E1039" s="11"/>
      <c r="F1039" s="11"/>
      <c r="G1039" s="11"/>
      <c r="H1039" s="11"/>
      <c r="I1039" s="11"/>
      <c r="J1039" s="11"/>
      <c r="K1039" s="11"/>
      <c r="L1039" s="15"/>
      <c r="M1039" s="15"/>
      <c r="N1039" s="15"/>
      <c r="O1039" s="15"/>
      <c r="P1039" s="15"/>
      <c r="Q1039" s="11"/>
      <c r="R1039" s="11"/>
      <c r="S1039" s="11"/>
      <c r="T1039" s="11"/>
      <c r="U1039" s="15"/>
      <c r="V1039" s="11"/>
      <c r="W1039" s="11"/>
      <c r="X1039" s="11"/>
      <c r="Y1039" s="11"/>
      <c r="Z1039" s="11"/>
    </row>
    <row r="1040">
      <c r="A1040" s="18"/>
      <c r="B1040" s="11"/>
      <c r="C1040" s="11"/>
      <c r="D1040" s="11"/>
      <c r="E1040" s="11"/>
      <c r="F1040" s="11"/>
      <c r="G1040" s="11"/>
      <c r="H1040" s="11"/>
      <c r="I1040" s="11"/>
      <c r="J1040" s="11"/>
      <c r="K1040" s="11"/>
      <c r="L1040" s="15"/>
      <c r="M1040" s="15"/>
      <c r="N1040" s="15"/>
      <c r="O1040" s="15"/>
      <c r="P1040" s="15"/>
      <c r="Q1040" s="11"/>
      <c r="R1040" s="11"/>
      <c r="S1040" s="11"/>
      <c r="T1040" s="11"/>
      <c r="U1040" s="15"/>
      <c r="V1040" s="11"/>
      <c r="W1040" s="11"/>
      <c r="X1040" s="11"/>
      <c r="Y1040" s="11"/>
      <c r="Z1040" s="11"/>
    </row>
    <row r="1041">
      <c r="A1041" s="18"/>
      <c r="B1041" s="11"/>
      <c r="C1041" s="11"/>
      <c r="D1041" s="11"/>
      <c r="E1041" s="11"/>
      <c r="F1041" s="11"/>
      <c r="G1041" s="11"/>
      <c r="H1041" s="11"/>
      <c r="I1041" s="11"/>
      <c r="J1041" s="11"/>
      <c r="K1041" s="11"/>
      <c r="L1041" s="15"/>
      <c r="M1041" s="15"/>
      <c r="N1041" s="15"/>
      <c r="O1041" s="15"/>
      <c r="P1041" s="15"/>
      <c r="Q1041" s="11"/>
      <c r="R1041" s="11"/>
      <c r="S1041" s="11"/>
      <c r="T1041" s="11"/>
      <c r="U1041" s="15"/>
      <c r="V1041" s="11"/>
      <c r="W1041" s="11"/>
      <c r="X1041" s="11"/>
      <c r="Y1041" s="11"/>
      <c r="Z1041" s="11"/>
    </row>
    <row r="1042">
      <c r="A1042" s="18"/>
      <c r="B1042" s="11"/>
      <c r="C1042" s="11"/>
      <c r="D1042" s="11"/>
      <c r="E1042" s="11"/>
      <c r="F1042" s="11"/>
      <c r="G1042" s="11"/>
      <c r="H1042" s="11"/>
      <c r="I1042" s="11"/>
      <c r="J1042" s="11"/>
      <c r="K1042" s="11"/>
      <c r="L1042" s="15"/>
      <c r="M1042" s="15"/>
      <c r="N1042" s="15"/>
      <c r="O1042" s="15"/>
      <c r="P1042" s="15"/>
      <c r="Q1042" s="11"/>
      <c r="R1042" s="11"/>
      <c r="S1042" s="11"/>
      <c r="T1042" s="11"/>
      <c r="U1042" s="15"/>
      <c r="V1042" s="11"/>
      <c r="W1042" s="11"/>
      <c r="X1042" s="11"/>
      <c r="Y1042" s="11"/>
      <c r="Z1042" s="11"/>
    </row>
    <row r="1043">
      <c r="A1043" s="18"/>
      <c r="B1043" s="11"/>
      <c r="C1043" s="11"/>
      <c r="D1043" s="11"/>
      <c r="E1043" s="11"/>
      <c r="F1043" s="11"/>
      <c r="G1043" s="11"/>
      <c r="H1043" s="11"/>
      <c r="I1043" s="11"/>
      <c r="J1043" s="11"/>
      <c r="K1043" s="11"/>
      <c r="L1043" s="15"/>
      <c r="M1043" s="15"/>
      <c r="N1043" s="15"/>
      <c r="O1043" s="15"/>
      <c r="P1043" s="15"/>
      <c r="Q1043" s="11"/>
      <c r="R1043" s="11"/>
      <c r="S1043" s="11"/>
      <c r="T1043" s="11"/>
      <c r="U1043" s="15"/>
      <c r="V1043" s="11"/>
      <c r="W1043" s="11"/>
      <c r="X1043" s="11"/>
      <c r="Y1043" s="11"/>
      <c r="Z1043" s="11"/>
    </row>
    <row r="1044">
      <c r="A1044" s="18"/>
      <c r="B1044" s="11"/>
      <c r="C1044" s="11"/>
      <c r="D1044" s="11"/>
      <c r="E1044" s="11"/>
      <c r="F1044" s="11"/>
      <c r="G1044" s="11"/>
      <c r="H1044" s="11"/>
      <c r="I1044" s="11"/>
      <c r="J1044" s="11"/>
      <c r="K1044" s="11"/>
      <c r="L1044" s="15"/>
      <c r="M1044" s="15"/>
      <c r="N1044" s="15"/>
      <c r="O1044" s="15"/>
      <c r="P1044" s="15"/>
      <c r="Q1044" s="11"/>
      <c r="R1044" s="11"/>
      <c r="S1044" s="11"/>
      <c r="T1044" s="11"/>
      <c r="U1044" s="15"/>
      <c r="V1044" s="11"/>
      <c r="W1044" s="11"/>
      <c r="X1044" s="11"/>
      <c r="Y1044" s="11"/>
      <c r="Z1044" s="11"/>
    </row>
    <row r="1045">
      <c r="A1045" s="18"/>
      <c r="B1045" s="11"/>
      <c r="C1045" s="11"/>
      <c r="D1045" s="11"/>
      <c r="E1045" s="11"/>
      <c r="F1045" s="11"/>
      <c r="G1045" s="11"/>
      <c r="H1045" s="11"/>
      <c r="I1045" s="11"/>
      <c r="J1045" s="11"/>
      <c r="K1045" s="11"/>
      <c r="L1045" s="15"/>
      <c r="M1045" s="15"/>
      <c r="N1045" s="15"/>
      <c r="O1045" s="15"/>
      <c r="P1045" s="15"/>
      <c r="Q1045" s="11"/>
      <c r="R1045" s="11"/>
      <c r="S1045" s="11"/>
      <c r="T1045" s="11"/>
      <c r="U1045" s="15"/>
      <c r="V1045" s="11"/>
      <c r="W1045" s="11"/>
      <c r="X1045" s="11"/>
      <c r="Y1045" s="11"/>
      <c r="Z1045" s="11"/>
    </row>
    <row r="1046">
      <c r="A1046" s="18"/>
      <c r="B1046" s="11"/>
      <c r="C1046" s="11"/>
      <c r="D1046" s="11"/>
      <c r="E1046" s="11"/>
      <c r="F1046" s="11"/>
      <c r="G1046" s="11"/>
      <c r="H1046" s="11"/>
      <c r="I1046" s="11"/>
      <c r="J1046" s="11"/>
      <c r="K1046" s="11"/>
      <c r="L1046" s="15"/>
      <c r="M1046" s="15"/>
      <c r="N1046" s="15"/>
      <c r="O1046" s="15"/>
      <c r="P1046" s="15"/>
      <c r="Q1046" s="11"/>
      <c r="R1046" s="11"/>
      <c r="S1046" s="11"/>
      <c r="T1046" s="11"/>
      <c r="U1046" s="15"/>
      <c r="V1046" s="11"/>
      <c r="W1046" s="11"/>
      <c r="X1046" s="11"/>
      <c r="Y1046" s="11"/>
      <c r="Z1046" s="11"/>
    </row>
    <row r="1047">
      <c r="A1047" s="18"/>
      <c r="B1047" s="11"/>
      <c r="C1047" s="11"/>
      <c r="D1047" s="11"/>
      <c r="E1047" s="11"/>
      <c r="F1047" s="11"/>
      <c r="G1047" s="11"/>
      <c r="H1047" s="11"/>
      <c r="I1047" s="11"/>
      <c r="J1047" s="11"/>
      <c r="K1047" s="11"/>
      <c r="L1047" s="15"/>
      <c r="M1047" s="15"/>
      <c r="N1047" s="15"/>
      <c r="O1047" s="15"/>
      <c r="P1047" s="15"/>
      <c r="Q1047" s="11"/>
      <c r="R1047" s="11"/>
      <c r="S1047" s="11"/>
      <c r="T1047" s="11"/>
      <c r="U1047" s="15"/>
      <c r="V1047" s="11"/>
      <c r="W1047" s="11"/>
      <c r="X1047" s="11"/>
      <c r="Y1047" s="11"/>
      <c r="Z1047" s="11"/>
    </row>
    <row r="1048">
      <c r="A1048" s="18"/>
      <c r="B1048" s="11"/>
      <c r="C1048" s="11"/>
      <c r="D1048" s="11"/>
      <c r="E1048" s="11"/>
      <c r="F1048" s="11"/>
      <c r="G1048" s="11"/>
      <c r="H1048" s="11"/>
      <c r="I1048" s="11"/>
      <c r="J1048" s="11"/>
      <c r="K1048" s="11"/>
      <c r="L1048" s="15"/>
      <c r="M1048" s="15"/>
      <c r="N1048" s="15"/>
      <c r="O1048" s="15"/>
      <c r="P1048" s="15"/>
      <c r="Q1048" s="11"/>
      <c r="R1048" s="11"/>
      <c r="S1048" s="11"/>
      <c r="T1048" s="11"/>
      <c r="U1048" s="15"/>
      <c r="V1048" s="11"/>
      <c r="W1048" s="11"/>
      <c r="X1048" s="11"/>
      <c r="Y1048" s="11"/>
      <c r="Z1048" s="11"/>
    </row>
    <row r="1049">
      <c r="A1049" s="18"/>
      <c r="B1049" s="11"/>
      <c r="C1049" s="11"/>
      <c r="D1049" s="11"/>
      <c r="E1049" s="11"/>
      <c r="F1049" s="11"/>
      <c r="G1049" s="11"/>
      <c r="H1049" s="11"/>
      <c r="I1049" s="11"/>
      <c r="J1049" s="11"/>
      <c r="K1049" s="11"/>
      <c r="L1049" s="15"/>
      <c r="M1049" s="15"/>
      <c r="N1049" s="15"/>
      <c r="O1049" s="15"/>
      <c r="P1049" s="15"/>
      <c r="Q1049" s="11"/>
      <c r="R1049" s="11"/>
      <c r="S1049" s="11"/>
      <c r="T1049" s="11"/>
      <c r="U1049" s="15"/>
      <c r="V1049" s="11"/>
      <c r="W1049" s="11"/>
      <c r="X1049" s="11"/>
      <c r="Y1049" s="11"/>
      <c r="Z1049" s="11"/>
    </row>
    <row r="1050">
      <c r="A1050" s="18"/>
      <c r="B1050" s="11"/>
      <c r="C1050" s="11"/>
      <c r="D1050" s="11"/>
      <c r="E1050" s="11"/>
      <c r="F1050" s="11"/>
      <c r="G1050" s="11"/>
      <c r="H1050" s="11"/>
      <c r="I1050" s="11"/>
      <c r="J1050" s="11"/>
      <c r="K1050" s="11"/>
      <c r="L1050" s="15"/>
      <c r="M1050" s="15"/>
      <c r="N1050" s="15"/>
      <c r="O1050" s="15"/>
      <c r="P1050" s="15"/>
      <c r="Q1050" s="11"/>
      <c r="R1050" s="11"/>
      <c r="S1050" s="11"/>
      <c r="T1050" s="11"/>
      <c r="U1050" s="15"/>
      <c r="V1050" s="11"/>
      <c r="W1050" s="11"/>
      <c r="X1050" s="11"/>
      <c r="Y1050" s="11"/>
      <c r="Z1050" s="11"/>
    </row>
    <row r="1051">
      <c r="A1051" s="18"/>
      <c r="B1051" s="11"/>
      <c r="C1051" s="11"/>
      <c r="D1051" s="11"/>
      <c r="E1051" s="11"/>
      <c r="F1051" s="11"/>
      <c r="G1051" s="11"/>
      <c r="H1051" s="11"/>
      <c r="I1051" s="11"/>
      <c r="J1051" s="11"/>
      <c r="K1051" s="11"/>
      <c r="L1051" s="15"/>
      <c r="M1051" s="15"/>
      <c r="N1051" s="15"/>
      <c r="O1051" s="15"/>
      <c r="P1051" s="15"/>
      <c r="Q1051" s="11"/>
      <c r="R1051" s="11"/>
      <c r="S1051" s="11"/>
      <c r="T1051" s="11"/>
      <c r="U1051" s="15"/>
      <c r="V1051" s="11"/>
      <c r="W1051" s="11"/>
      <c r="X1051" s="11"/>
      <c r="Y1051" s="11"/>
      <c r="Z1051" s="11"/>
    </row>
    <row r="1052">
      <c r="A1052" s="18"/>
      <c r="B1052" s="11"/>
      <c r="C1052" s="11"/>
      <c r="D1052" s="11"/>
      <c r="E1052" s="11"/>
      <c r="F1052" s="11"/>
      <c r="G1052" s="11"/>
      <c r="H1052" s="11"/>
      <c r="I1052" s="11"/>
      <c r="J1052" s="11"/>
      <c r="K1052" s="11"/>
      <c r="L1052" s="15"/>
      <c r="M1052" s="15"/>
      <c r="N1052" s="15"/>
      <c r="O1052" s="15"/>
      <c r="P1052" s="15"/>
      <c r="Q1052" s="11"/>
      <c r="R1052" s="11"/>
      <c r="S1052" s="11"/>
      <c r="T1052" s="11"/>
      <c r="U1052" s="15"/>
      <c r="V1052" s="11"/>
      <c r="W1052" s="11"/>
      <c r="X1052" s="11"/>
      <c r="Y1052" s="11"/>
      <c r="Z1052" s="11"/>
    </row>
    <row r="1053">
      <c r="A1053" s="18"/>
      <c r="B1053" s="11"/>
      <c r="C1053" s="11"/>
      <c r="D1053" s="11"/>
      <c r="E1053" s="11"/>
      <c r="F1053" s="11"/>
      <c r="G1053" s="11"/>
      <c r="H1053" s="11"/>
      <c r="I1053" s="11"/>
      <c r="J1053" s="11"/>
      <c r="K1053" s="11"/>
      <c r="L1053" s="15"/>
      <c r="M1053" s="15"/>
      <c r="N1053" s="15"/>
      <c r="O1053" s="15"/>
      <c r="P1053" s="15"/>
      <c r="Q1053" s="11"/>
      <c r="R1053" s="11"/>
      <c r="S1053" s="11"/>
      <c r="T1053" s="11"/>
      <c r="U1053" s="15"/>
      <c r="V1053" s="11"/>
      <c r="W1053" s="11"/>
      <c r="X1053" s="11"/>
      <c r="Y1053" s="11"/>
      <c r="Z1053" s="11"/>
    </row>
    <row r="1054">
      <c r="A1054" s="18"/>
      <c r="B1054" s="11"/>
      <c r="C1054" s="11"/>
      <c r="D1054" s="11"/>
      <c r="E1054" s="11"/>
      <c r="F1054" s="11"/>
      <c r="G1054" s="11"/>
      <c r="H1054" s="11"/>
      <c r="I1054" s="11"/>
      <c r="J1054" s="11"/>
      <c r="K1054" s="11"/>
      <c r="L1054" s="15"/>
      <c r="M1054" s="15"/>
      <c r="N1054" s="15"/>
      <c r="O1054" s="15"/>
      <c r="P1054" s="15"/>
      <c r="Q1054" s="11"/>
      <c r="R1054" s="11"/>
      <c r="S1054" s="11"/>
      <c r="T1054" s="11"/>
      <c r="U1054" s="15"/>
      <c r="V1054" s="11"/>
      <c r="W1054" s="11"/>
      <c r="X1054" s="11"/>
      <c r="Y1054" s="11"/>
      <c r="Z1054" s="11"/>
    </row>
    <row r="1055">
      <c r="A1055" s="18"/>
      <c r="B1055" s="11"/>
      <c r="C1055" s="11"/>
      <c r="D1055" s="11"/>
      <c r="E1055" s="11"/>
      <c r="F1055" s="11"/>
      <c r="G1055" s="11"/>
      <c r="H1055" s="11"/>
      <c r="I1055" s="11"/>
      <c r="J1055" s="11"/>
      <c r="K1055" s="11"/>
      <c r="L1055" s="15"/>
      <c r="M1055" s="15"/>
      <c r="N1055" s="15"/>
      <c r="O1055" s="15"/>
      <c r="P1055" s="15"/>
      <c r="Q1055" s="11"/>
      <c r="R1055" s="11"/>
      <c r="S1055" s="11"/>
      <c r="T1055" s="11"/>
      <c r="U1055" s="15"/>
      <c r="V1055" s="11"/>
      <c r="W1055" s="11"/>
      <c r="X1055" s="11"/>
      <c r="Y1055" s="11"/>
      <c r="Z1055" s="11"/>
    </row>
    <row r="1056">
      <c r="A1056" s="18"/>
      <c r="B1056" s="11"/>
      <c r="C1056" s="11"/>
      <c r="D1056" s="11"/>
      <c r="E1056" s="11"/>
      <c r="F1056" s="11"/>
      <c r="G1056" s="11"/>
      <c r="H1056" s="11"/>
      <c r="I1056" s="11"/>
      <c r="J1056" s="11"/>
      <c r="K1056" s="11"/>
      <c r="L1056" s="15"/>
      <c r="M1056" s="15"/>
      <c r="N1056" s="15"/>
      <c r="O1056" s="15"/>
      <c r="P1056" s="15"/>
      <c r="Q1056" s="11"/>
      <c r="R1056" s="11"/>
      <c r="S1056" s="11"/>
      <c r="T1056" s="11"/>
      <c r="U1056" s="15"/>
      <c r="V1056" s="11"/>
      <c r="W1056" s="11"/>
      <c r="X1056" s="11"/>
      <c r="Y1056" s="11"/>
      <c r="Z1056" s="11"/>
    </row>
    <row r="1057">
      <c r="A1057" s="18"/>
      <c r="B1057" s="11"/>
      <c r="C1057" s="11"/>
      <c r="D1057" s="11"/>
      <c r="E1057" s="11"/>
      <c r="F1057" s="11"/>
      <c r="G1057" s="11"/>
      <c r="H1057" s="11"/>
      <c r="I1057" s="11"/>
      <c r="J1057" s="11"/>
      <c r="K1057" s="11"/>
      <c r="L1057" s="15"/>
      <c r="M1057" s="15"/>
      <c r="N1057" s="15"/>
      <c r="O1057" s="15"/>
      <c r="P1057" s="15"/>
      <c r="Q1057" s="11"/>
      <c r="R1057" s="11"/>
      <c r="S1057" s="11"/>
      <c r="T1057" s="11"/>
      <c r="U1057" s="15"/>
      <c r="V1057" s="11"/>
      <c r="W1057" s="11"/>
      <c r="X1057" s="11"/>
      <c r="Y1057" s="11"/>
      <c r="Z1057" s="11"/>
    </row>
    <row r="1058">
      <c r="A1058" s="18"/>
      <c r="B1058" s="11"/>
      <c r="C1058" s="11"/>
      <c r="D1058" s="11"/>
      <c r="E1058" s="11"/>
      <c r="F1058" s="11"/>
      <c r="G1058" s="11"/>
      <c r="H1058" s="11"/>
      <c r="I1058" s="11"/>
      <c r="J1058" s="11"/>
      <c r="K1058" s="11"/>
      <c r="L1058" s="15"/>
      <c r="M1058" s="15"/>
      <c r="N1058" s="15"/>
      <c r="O1058" s="15"/>
      <c r="P1058" s="15"/>
      <c r="Q1058" s="11"/>
      <c r="R1058" s="11"/>
      <c r="S1058" s="11"/>
      <c r="T1058" s="11"/>
      <c r="U1058" s="15"/>
      <c r="V1058" s="11"/>
      <c r="W1058" s="11"/>
      <c r="X1058" s="11"/>
      <c r="Y1058" s="11"/>
      <c r="Z1058" s="11"/>
    </row>
    <row r="1059">
      <c r="A1059" s="18"/>
      <c r="B1059" s="11"/>
      <c r="C1059" s="11"/>
      <c r="D1059" s="11"/>
      <c r="E1059" s="11"/>
      <c r="F1059" s="11"/>
      <c r="G1059" s="11"/>
      <c r="H1059" s="11"/>
      <c r="I1059" s="11"/>
      <c r="J1059" s="11"/>
      <c r="K1059" s="11"/>
      <c r="L1059" s="15"/>
      <c r="M1059" s="15"/>
      <c r="N1059" s="15"/>
      <c r="O1059" s="15"/>
      <c r="P1059" s="15"/>
      <c r="Q1059" s="11"/>
      <c r="R1059" s="11"/>
      <c r="S1059" s="11"/>
      <c r="T1059" s="11"/>
      <c r="U1059" s="15"/>
      <c r="V1059" s="11"/>
      <c r="W1059" s="11"/>
      <c r="X1059" s="11"/>
      <c r="Y1059" s="11"/>
      <c r="Z1059" s="11"/>
    </row>
    <row r="1060">
      <c r="A1060" s="18"/>
      <c r="B1060" s="11"/>
      <c r="C1060" s="11"/>
      <c r="D1060" s="11"/>
      <c r="E1060" s="11"/>
      <c r="F1060" s="11"/>
      <c r="G1060" s="11"/>
      <c r="H1060" s="11"/>
      <c r="I1060" s="11"/>
      <c r="J1060" s="11"/>
      <c r="K1060" s="11"/>
      <c r="L1060" s="15"/>
      <c r="M1060" s="15"/>
      <c r="N1060" s="15"/>
      <c r="O1060" s="15"/>
      <c r="P1060" s="15"/>
      <c r="Q1060" s="11"/>
      <c r="R1060" s="11"/>
      <c r="S1060" s="11"/>
      <c r="T1060" s="11"/>
      <c r="U1060" s="15"/>
      <c r="V1060" s="11"/>
      <c r="W1060" s="11"/>
      <c r="X1060" s="11"/>
      <c r="Y1060" s="11"/>
      <c r="Z1060" s="11"/>
    </row>
    <row r="1061">
      <c r="A1061" s="18"/>
      <c r="B1061" s="11"/>
      <c r="C1061" s="11"/>
      <c r="D1061" s="11"/>
      <c r="E1061" s="11"/>
      <c r="F1061" s="11"/>
      <c r="G1061" s="11"/>
      <c r="H1061" s="11"/>
      <c r="I1061" s="11"/>
      <c r="J1061" s="11"/>
      <c r="K1061" s="11"/>
      <c r="L1061" s="15"/>
      <c r="M1061" s="15"/>
      <c r="N1061" s="15"/>
      <c r="O1061" s="15"/>
      <c r="P1061" s="15"/>
      <c r="Q1061" s="11"/>
      <c r="R1061" s="11"/>
      <c r="S1061" s="11"/>
      <c r="T1061" s="11"/>
      <c r="U1061" s="15"/>
      <c r="V1061" s="11"/>
      <c r="W1061" s="11"/>
      <c r="X1061" s="11"/>
      <c r="Y1061" s="11"/>
      <c r="Z1061" s="11"/>
    </row>
    <row r="1062">
      <c r="A1062" s="18"/>
      <c r="B1062" s="11"/>
      <c r="C1062" s="11"/>
      <c r="D1062" s="11"/>
      <c r="E1062" s="11"/>
      <c r="F1062" s="11"/>
      <c r="G1062" s="11"/>
      <c r="H1062" s="11"/>
      <c r="I1062" s="11"/>
      <c r="J1062" s="11"/>
      <c r="K1062" s="11"/>
      <c r="L1062" s="15"/>
      <c r="M1062" s="15"/>
      <c r="N1062" s="15"/>
      <c r="O1062" s="15"/>
      <c r="P1062" s="15"/>
      <c r="Q1062" s="11"/>
      <c r="R1062" s="11"/>
      <c r="S1062" s="11"/>
      <c r="T1062" s="11"/>
      <c r="U1062" s="15"/>
      <c r="V1062" s="11"/>
      <c r="W1062" s="11"/>
      <c r="X1062" s="11"/>
      <c r="Y1062" s="11"/>
      <c r="Z1062" s="11"/>
    </row>
    <row r="1063">
      <c r="A1063" s="18"/>
      <c r="B1063" s="11"/>
      <c r="C1063" s="11"/>
      <c r="D1063" s="11"/>
      <c r="E1063" s="11"/>
      <c r="F1063" s="11"/>
      <c r="G1063" s="11"/>
      <c r="H1063" s="11"/>
      <c r="I1063" s="11"/>
      <c r="J1063" s="11"/>
      <c r="K1063" s="11"/>
      <c r="L1063" s="15"/>
      <c r="M1063" s="15"/>
      <c r="N1063" s="15"/>
      <c r="O1063" s="15"/>
      <c r="P1063" s="15"/>
      <c r="Q1063" s="11"/>
      <c r="R1063" s="11"/>
      <c r="S1063" s="11"/>
      <c r="T1063" s="11"/>
      <c r="U1063" s="15"/>
      <c r="V1063" s="11"/>
      <c r="W1063" s="11"/>
      <c r="X1063" s="11"/>
      <c r="Y1063" s="11"/>
      <c r="Z1063" s="11"/>
    </row>
    <row r="1064">
      <c r="A1064" s="18"/>
      <c r="B1064" s="11"/>
      <c r="C1064" s="11"/>
      <c r="D1064" s="11"/>
      <c r="E1064" s="11"/>
      <c r="F1064" s="11"/>
      <c r="G1064" s="11"/>
      <c r="H1064" s="11"/>
      <c r="I1064" s="11"/>
      <c r="J1064" s="11"/>
      <c r="K1064" s="11"/>
      <c r="L1064" s="15"/>
      <c r="M1064" s="15"/>
      <c r="N1064" s="15"/>
      <c r="O1064" s="15"/>
      <c r="P1064" s="15"/>
      <c r="Q1064" s="11"/>
      <c r="R1064" s="11"/>
      <c r="S1064" s="11"/>
      <c r="T1064" s="11"/>
      <c r="U1064" s="15"/>
      <c r="V1064" s="11"/>
      <c r="W1064" s="11"/>
      <c r="X1064" s="11"/>
      <c r="Y1064" s="11"/>
      <c r="Z1064" s="11"/>
    </row>
    <row r="1065">
      <c r="A1065" s="18"/>
      <c r="B1065" s="11"/>
      <c r="C1065" s="11"/>
      <c r="D1065" s="11"/>
      <c r="E1065" s="11"/>
      <c r="F1065" s="11"/>
      <c r="G1065" s="11"/>
      <c r="H1065" s="11"/>
      <c r="I1065" s="11"/>
      <c r="J1065" s="11"/>
      <c r="K1065" s="11"/>
      <c r="L1065" s="15"/>
      <c r="M1065" s="15"/>
      <c r="N1065" s="15"/>
      <c r="O1065" s="15"/>
      <c r="P1065" s="15"/>
      <c r="Q1065" s="11"/>
      <c r="R1065" s="11"/>
      <c r="S1065" s="11"/>
      <c r="T1065" s="11"/>
      <c r="U1065" s="15"/>
      <c r="V1065" s="11"/>
      <c r="W1065" s="11"/>
      <c r="X1065" s="11"/>
      <c r="Y1065" s="11"/>
      <c r="Z1065" s="11"/>
    </row>
    <row r="1066">
      <c r="A1066" s="18"/>
      <c r="B1066" s="11"/>
      <c r="C1066" s="11"/>
      <c r="D1066" s="11"/>
      <c r="E1066" s="11"/>
      <c r="F1066" s="11"/>
      <c r="G1066" s="11"/>
      <c r="H1066" s="11"/>
      <c r="I1066" s="11"/>
      <c r="J1066" s="11"/>
      <c r="K1066" s="11"/>
      <c r="L1066" s="15"/>
      <c r="M1066" s="15"/>
      <c r="N1066" s="15"/>
      <c r="O1066" s="15"/>
      <c r="P1066" s="15"/>
      <c r="Q1066" s="11"/>
      <c r="R1066" s="11"/>
      <c r="S1066" s="11"/>
      <c r="T1066" s="11"/>
      <c r="U1066" s="15"/>
      <c r="V1066" s="11"/>
      <c r="W1066" s="11"/>
      <c r="X1066" s="11"/>
      <c r="Y1066" s="11"/>
      <c r="Z1066" s="11"/>
    </row>
    <row r="1067">
      <c r="A1067" s="18"/>
      <c r="B1067" s="11"/>
      <c r="C1067" s="11"/>
      <c r="D1067" s="11"/>
      <c r="E1067" s="11"/>
      <c r="F1067" s="11"/>
      <c r="G1067" s="11"/>
      <c r="H1067" s="11"/>
      <c r="I1067" s="11"/>
      <c r="J1067" s="11"/>
      <c r="K1067" s="11"/>
      <c r="L1067" s="15"/>
      <c r="M1067" s="15"/>
      <c r="N1067" s="15"/>
      <c r="O1067" s="15"/>
      <c r="P1067" s="15"/>
      <c r="Q1067" s="11"/>
      <c r="R1067" s="11"/>
      <c r="S1067" s="11"/>
      <c r="T1067" s="11"/>
      <c r="U1067" s="15"/>
      <c r="V1067" s="11"/>
      <c r="W1067" s="11"/>
      <c r="X1067" s="11"/>
      <c r="Y1067" s="11"/>
      <c r="Z1067" s="11"/>
    </row>
    <row r="1068">
      <c r="A1068" s="18"/>
      <c r="B1068" s="11"/>
      <c r="C1068" s="11"/>
      <c r="D1068" s="11"/>
      <c r="E1068" s="11"/>
      <c r="F1068" s="11"/>
      <c r="G1068" s="11"/>
      <c r="H1068" s="11"/>
      <c r="I1068" s="11"/>
      <c r="J1068" s="11"/>
      <c r="K1068" s="11"/>
      <c r="L1068" s="15"/>
      <c r="M1068" s="15"/>
      <c r="N1068" s="15"/>
      <c r="O1068" s="15"/>
      <c r="P1068" s="15"/>
      <c r="Q1068" s="11"/>
      <c r="R1068" s="11"/>
      <c r="S1068" s="11"/>
      <c r="T1068" s="11"/>
      <c r="U1068" s="15"/>
      <c r="V1068" s="11"/>
      <c r="W1068" s="11"/>
      <c r="X1068" s="11"/>
      <c r="Y1068" s="11"/>
      <c r="Z1068" s="11"/>
    </row>
    <row r="1069">
      <c r="A1069" s="18"/>
      <c r="B1069" s="11"/>
      <c r="C1069" s="11"/>
      <c r="D1069" s="11"/>
      <c r="E1069" s="11"/>
      <c r="F1069" s="11"/>
      <c r="G1069" s="11"/>
      <c r="H1069" s="11"/>
      <c r="I1069" s="11"/>
      <c r="J1069" s="11"/>
      <c r="K1069" s="11"/>
      <c r="L1069" s="15"/>
      <c r="M1069" s="15"/>
      <c r="N1069" s="15"/>
      <c r="O1069" s="15"/>
      <c r="P1069" s="15"/>
      <c r="Q1069" s="11"/>
      <c r="R1069" s="11"/>
      <c r="S1069" s="11"/>
      <c r="T1069" s="11"/>
      <c r="U1069" s="15"/>
      <c r="V1069" s="11"/>
      <c r="W1069" s="11"/>
      <c r="X1069" s="11"/>
      <c r="Y1069" s="11"/>
      <c r="Z1069" s="11"/>
    </row>
    <row r="1070">
      <c r="A1070" s="18"/>
      <c r="B1070" s="11"/>
      <c r="C1070" s="11"/>
      <c r="D1070" s="11"/>
      <c r="E1070" s="11"/>
      <c r="F1070" s="11"/>
      <c r="G1070" s="11"/>
      <c r="H1070" s="11"/>
      <c r="I1070" s="11"/>
      <c r="J1070" s="11"/>
      <c r="K1070" s="11"/>
      <c r="L1070" s="15"/>
      <c r="M1070" s="15"/>
      <c r="N1070" s="15"/>
      <c r="O1070" s="15"/>
      <c r="P1070" s="15"/>
      <c r="Q1070" s="11"/>
      <c r="R1070" s="11"/>
      <c r="S1070" s="11"/>
      <c r="T1070" s="11"/>
      <c r="U1070" s="15"/>
      <c r="V1070" s="11"/>
      <c r="W1070" s="11"/>
      <c r="X1070" s="11"/>
      <c r="Y1070" s="11"/>
      <c r="Z1070" s="11"/>
    </row>
    <row r="1071">
      <c r="A1071" s="18"/>
      <c r="B1071" s="11"/>
      <c r="C1071" s="11"/>
      <c r="D1071" s="11"/>
      <c r="E1071" s="11"/>
      <c r="F1071" s="11"/>
      <c r="G1071" s="11"/>
      <c r="H1071" s="11"/>
      <c r="I1071" s="11"/>
      <c r="J1071" s="11"/>
      <c r="K1071" s="11"/>
      <c r="L1071" s="15"/>
      <c r="M1071" s="15"/>
      <c r="N1071" s="15"/>
      <c r="O1071" s="15"/>
      <c r="P1071" s="15"/>
      <c r="Q1071" s="11"/>
      <c r="R1071" s="11"/>
      <c r="S1071" s="11"/>
      <c r="T1071" s="11"/>
      <c r="U1071" s="15"/>
      <c r="V1071" s="11"/>
      <c r="W1071" s="11"/>
      <c r="X1071" s="11"/>
      <c r="Y1071" s="11"/>
      <c r="Z1071" s="11"/>
    </row>
    <row r="1072">
      <c r="A1072" s="18"/>
      <c r="B1072" s="11"/>
      <c r="C1072" s="11"/>
      <c r="D1072" s="11"/>
      <c r="E1072" s="11"/>
      <c r="F1072" s="11"/>
      <c r="G1072" s="11"/>
      <c r="H1072" s="11"/>
      <c r="I1072" s="11"/>
      <c r="J1072" s="11"/>
      <c r="K1072" s="11"/>
      <c r="L1072" s="15"/>
      <c r="M1072" s="15"/>
      <c r="N1072" s="15"/>
      <c r="O1072" s="15"/>
      <c r="P1072" s="15"/>
      <c r="Q1072" s="11"/>
      <c r="R1072" s="11"/>
      <c r="S1072" s="11"/>
      <c r="T1072" s="11"/>
      <c r="U1072" s="15"/>
      <c r="V1072" s="11"/>
      <c r="W1072" s="11"/>
      <c r="X1072" s="11"/>
      <c r="Y1072" s="11"/>
      <c r="Z1072" s="11"/>
    </row>
    <row r="1073">
      <c r="A1073" s="18"/>
      <c r="B1073" s="11"/>
      <c r="C1073" s="11"/>
      <c r="D1073" s="11"/>
      <c r="E1073" s="11"/>
      <c r="F1073" s="11"/>
      <c r="G1073" s="11"/>
      <c r="H1073" s="11"/>
      <c r="I1073" s="11"/>
      <c r="J1073" s="11"/>
      <c r="K1073" s="11"/>
      <c r="L1073" s="15"/>
      <c r="M1073" s="15"/>
      <c r="N1073" s="15"/>
      <c r="O1073" s="15"/>
      <c r="P1073" s="15"/>
      <c r="Q1073" s="11"/>
      <c r="R1073" s="11"/>
      <c r="S1073" s="11"/>
      <c r="T1073" s="11"/>
      <c r="U1073" s="15"/>
      <c r="V1073" s="11"/>
      <c r="W1073" s="11"/>
      <c r="X1073" s="11"/>
      <c r="Y1073" s="11"/>
      <c r="Z1073" s="11"/>
    </row>
    <row r="1074">
      <c r="A1074" s="18"/>
      <c r="B1074" s="11"/>
      <c r="C1074" s="11"/>
      <c r="D1074" s="11"/>
      <c r="E1074" s="11"/>
      <c r="F1074" s="11"/>
      <c r="G1074" s="11"/>
      <c r="H1074" s="11"/>
      <c r="I1074" s="11"/>
      <c r="J1074" s="11"/>
      <c r="K1074" s="11"/>
      <c r="L1074" s="15"/>
      <c r="M1074" s="15"/>
      <c r="N1074" s="15"/>
      <c r="O1074" s="15"/>
      <c r="P1074" s="15"/>
      <c r="Q1074" s="11"/>
      <c r="R1074" s="11"/>
      <c r="S1074" s="11"/>
      <c r="T1074" s="11"/>
      <c r="U1074" s="15"/>
      <c r="V1074" s="11"/>
      <c r="W1074" s="11"/>
      <c r="X1074" s="11"/>
      <c r="Y1074" s="11"/>
      <c r="Z1074" s="11"/>
    </row>
    <row r="1075">
      <c r="A1075" s="18"/>
      <c r="B1075" s="11"/>
      <c r="C1075" s="11"/>
      <c r="D1075" s="11"/>
      <c r="E1075" s="11"/>
      <c r="F1075" s="11"/>
      <c r="G1075" s="11"/>
      <c r="H1075" s="11"/>
      <c r="I1075" s="11"/>
      <c r="J1075" s="11"/>
      <c r="K1075" s="11"/>
      <c r="L1075" s="15"/>
      <c r="M1075" s="15"/>
      <c r="N1075" s="15"/>
      <c r="O1075" s="15"/>
      <c r="P1075" s="15"/>
      <c r="Q1075" s="11"/>
      <c r="R1075" s="11"/>
      <c r="S1075" s="11"/>
      <c r="T1075" s="11"/>
      <c r="U1075" s="15"/>
      <c r="V1075" s="11"/>
      <c r="W1075" s="11"/>
      <c r="X1075" s="11"/>
      <c r="Y1075" s="11"/>
      <c r="Z1075" s="11"/>
    </row>
    <row r="1076">
      <c r="A1076" s="18"/>
      <c r="B1076" s="11"/>
      <c r="C1076" s="11"/>
      <c r="D1076" s="11"/>
      <c r="E1076" s="11"/>
      <c r="F1076" s="11"/>
      <c r="G1076" s="11"/>
      <c r="H1076" s="11"/>
      <c r="I1076" s="11"/>
      <c r="J1076" s="11"/>
      <c r="K1076" s="11"/>
      <c r="L1076" s="15"/>
      <c r="M1076" s="15"/>
      <c r="N1076" s="15"/>
      <c r="O1076" s="15"/>
      <c r="P1076" s="15"/>
      <c r="Q1076" s="11"/>
      <c r="R1076" s="11"/>
      <c r="S1076" s="11"/>
      <c r="T1076" s="11"/>
      <c r="U1076" s="15"/>
      <c r="V1076" s="11"/>
      <c r="W1076" s="11"/>
      <c r="X1076" s="11"/>
      <c r="Y1076" s="11"/>
      <c r="Z1076" s="11"/>
    </row>
    <row r="1077">
      <c r="A1077" s="18"/>
      <c r="B1077" s="11"/>
      <c r="C1077" s="11"/>
      <c r="D1077" s="11"/>
      <c r="E1077" s="11"/>
      <c r="F1077" s="11"/>
      <c r="G1077" s="11"/>
      <c r="H1077" s="11"/>
      <c r="I1077" s="11"/>
      <c r="J1077" s="11"/>
      <c r="K1077" s="11"/>
      <c r="L1077" s="15"/>
      <c r="M1077" s="15"/>
      <c r="N1077" s="15"/>
      <c r="O1077" s="15"/>
      <c r="P1077" s="15"/>
      <c r="Q1077" s="11"/>
      <c r="R1077" s="11"/>
      <c r="S1077" s="11"/>
      <c r="T1077" s="11"/>
      <c r="U1077" s="15"/>
      <c r="V1077" s="11"/>
      <c r="W1077" s="11"/>
      <c r="X1077" s="11"/>
      <c r="Y1077" s="11"/>
      <c r="Z1077" s="11"/>
    </row>
    <row r="1078">
      <c r="A1078" s="18"/>
      <c r="B1078" s="11"/>
      <c r="C1078" s="11"/>
      <c r="D1078" s="11"/>
      <c r="E1078" s="11"/>
      <c r="F1078" s="11"/>
      <c r="G1078" s="11"/>
      <c r="H1078" s="11"/>
      <c r="I1078" s="11"/>
      <c r="J1078" s="11"/>
      <c r="K1078" s="11"/>
      <c r="L1078" s="15"/>
      <c r="M1078" s="15"/>
      <c r="N1078" s="15"/>
      <c r="O1078" s="15"/>
      <c r="P1078" s="15"/>
      <c r="Q1078" s="11"/>
      <c r="R1078" s="11"/>
      <c r="S1078" s="11"/>
      <c r="T1078" s="11"/>
      <c r="U1078" s="15"/>
      <c r="V1078" s="11"/>
      <c r="W1078" s="11"/>
      <c r="X1078" s="11"/>
      <c r="Y1078" s="11"/>
      <c r="Z1078" s="11"/>
    </row>
    <row r="1079">
      <c r="A1079" s="18"/>
      <c r="B1079" s="11"/>
      <c r="C1079" s="11"/>
      <c r="D1079" s="11"/>
      <c r="E1079" s="11"/>
      <c r="F1079" s="11"/>
      <c r="G1079" s="11"/>
      <c r="H1079" s="11"/>
      <c r="I1079" s="11"/>
      <c r="J1079" s="11"/>
      <c r="K1079" s="11"/>
      <c r="L1079" s="15"/>
      <c r="M1079" s="15"/>
      <c r="N1079" s="15"/>
      <c r="O1079" s="15"/>
      <c r="P1079" s="15"/>
      <c r="Q1079" s="11"/>
      <c r="R1079" s="11"/>
      <c r="S1079" s="11"/>
      <c r="T1079" s="11"/>
      <c r="U1079" s="15"/>
      <c r="V1079" s="11"/>
      <c r="W1079" s="11"/>
      <c r="X1079" s="11"/>
      <c r="Y1079" s="11"/>
      <c r="Z1079" s="11"/>
    </row>
    <row r="1080">
      <c r="A1080" s="18"/>
      <c r="B1080" s="11"/>
      <c r="C1080" s="11"/>
      <c r="D1080" s="11"/>
      <c r="E1080" s="11"/>
      <c r="F1080" s="11"/>
      <c r="G1080" s="11"/>
      <c r="H1080" s="11"/>
      <c r="I1080" s="11"/>
      <c r="J1080" s="11"/>
      <c r="K1080" s="11"/>
      <c r="L1080" s="15"/>
      <c r="M1080" s="15"/>
      <c r="N1080" s="15"/>
      <c r="O1080" s="15"/>
      <c r="P1080" s="15"/>
      <c r="Q1080" s="11"/>
      <c r="R1080" s="11"/>
      <c r="S1080" s="11"/>
      <c r="T1080" s="11"/>
      <c r="U1080" s="15"/>
      <c r="V1080" s="11"/>
      <c r="W1080" s="11"/>
      <c r="X1080" s="11"/>
      <c r="Y1080" s="11"/>
      <c r="Z1080" s="11"/>
    </row>
    <row r="1081">
      <c r="A1081" s="18"/>
      <c r="B1081" s="11"/>
      <c r="C1081" s="11"/>
      <c r="D1081" s="11"/>
      <c r="E1081" s="11"/>
      <c r="F1081" s="11"/>
      <c r="G1081" s="11"/>
      <c r="H1081" s="11"/>
      <c r="I1081" s="11"/>
      <c r="J1081" s="11"/>
      <c r="K1081" s="11"/>
      <c r="L1081" s="15"/>
      <c r="M1081" s="15"/>
      <c r="N1081" s="15"/>
      <c r="O1081" s="15"/>
      <c r="P1081" s="15"/>
      <c r="Q1081" s="11"/>
      <c r="R1081" s="11"/>
      <c r="S1081" s="11"/>
      <c r="T1081" s="11"/>
      <c r="U1081" s="15"/>
      <c r="V1081" s="11"/>
      <c r="W1081" s="11"/>
      <c r="X1081" s="11"/>
      <c r="Y1081" s="11"/>
      <c r="Z1081" s="11"/>
    </row>
    <row r="1082">
      <c r="A1082" s="18"/>
      <c r="B1082" s="11"/>
      <c r="C1082" s="11"/>
      <c r="D1082" s="11"/>
      <c r="E1082" s="11"/>
      <c r="F1082" s="11"/>
      <c r="G1082" s="11"/>
      <c r="H1082" s="11"/>
      <c r="I1082" s="11"/>
      <c r="J1082" s="11"/>
      <c r="K1082" s="11"/>
      <c r="L1082" s="15"/>
      <c r="M1082" s="15"/>
      <c r="N1082" s="15"/>
      <c r="O1082" s="15"/>
      <c r="P1082" s="15"/>
      <c r="Q1082" s="11"/>
      <c r="R1082" s="11"/>
      <c r="S1082" s="11"/>
      <c r="T1082" s="11"/>
      <c r="U1082" s="15"/>
      <c r="V1082" s="11"/>
      <c r="W1082" s="11"/>
      <c r="X1082" s="11"/>
      <c r="Y1082" s="11"/>
      <c r="Z1082" s="11"/>
    </row>
    <row r="1083">
      <c r="A1083" s="18"/>
      <c r="B1083" s="11"/>
      <c r="C1083" s="11"/>
      <c r="D1083" s="11"/>
      <c r="E1083" s="11"/>
      <c r="F1083" s="11"/>
      <c r="G1083" s="11"/>
      <c r="H1083" s="11"/>
      <c r="I1083" s="11"/>
      <c r="J1083" s="11"/>
      <c r="K1083" s="11"/>
      <c r="L1083" s="15"/>
      <c r="M1083" s="15"/>
      <c r="N1083" s="15"/>
      <c r="O1083" s="15"/>
      <c r="P1083" s="15"/>
      <c r="Q1083" s="11"/>
      <c r="R1083" s="11"/>
      <c r="S1083" s="11"/>
      <c r="T1083" s="11"/>
      <c r="U1083" s="15"/>
      <c r="V1083" s="11"/>
      <c r="W1083" s="11"/>
      <c r="X1083" s="11"/>
      <c r="Y1083" s="11"/>
      <c r="Z1083" s="11"/>
    </row>
    <row r="1084">
      <c r="A1084" s="18"/>
      <c r="B1084" s="11"/>
      <c r="C1084" s="11"/>
      <c r="D1084" s="11"/>
      <c r="E1084" s="11"/>
      <c r="F1084" s="11"/>
      <c r="G1084" s="11"/>
      <c r="H1084" s="11"/>
      <c r="I1084" s="11"/>
      <c r="J1084" s="11"/>
      <c r="K1084" s="11"/>
      <c r="L1084" s="15"/>
      <c r="M1084" s="15"/>
      <c r="N1084" s="15"/>
      <c r="O1084" s="15"/>
      <c r="P1084" s="15"/>
      <c r="Q1084" s="11"/>
      <c r="R1084" s="11"/>
      <c r="S1084" s="11"/>
      <c r="T1084" s="11"/>
      <c r="U1084" s="15"/>
      <c r="V1084" s="11"/>
      <c r="W1084" s="11"/>
      <c r="X1084" s="11"/>
      <c r="Y1084" s="11"/>
      <c r="Z1084" s="11"/>
    </row>
    <row r="1085">
      <c r="A1085" s="18"/>
      <c r="B1085" s="11"/>
      <c r="C1085" s="11"/>
      <c r="D1085" s="11"/>
      <c r="E1085" s="11"/>
      <c r="F1085" s="11"/>
      <c r="G1085" s="11"/>
      <c r="H1085" s="11"/>
      <c r="I1085" s="11"/>
      <c r="J1085" s="11"/>
      <c r="K1085" s="11"/>
      <c r="L1085" s="15"/>
      <c r="M1085" s="15"/>
      <c r="N1085" s="15"/>
      <c r="O1085" s="15"/>
      <c r="P1085" s="15"/>
      <c r="Q1085" s="11"/>
      <c r="R1085" s="11"/>
      <c r="S1085" s="11"/>
      <c r="T1085" s="11"/>
      <c r="U1085" s="15"/>
      <c r="V1085" s="11"/>
      <c r="W1085" s="11"/>
      <c r="X1085" s="11"/>
      <c r="Y1085" s="11"/>
      <c r="Z1085" s="11"/>
    </row>
    <row r="1086">
      <c r="A1086" s="18"/>
      <c r="B1086" s="11"/>
      <c r="C1086" s="11"/>
      <c r="D1086" s="11"/>
      <c r="E1086" s="11"/>
      <c r="F1086" s="11"/>
      <c r="G1086" s="11"/>
      <c r="H1086" s="11"/>
      <c r="I1086" s="11"/>
      <c r="J1086" s="11"/>
      <c r="K1086" s="11"/>
      <c r="L1086" s="15"/>
      <c r="M1086" s="15"/>
      <c r="N1086" s="15"/>
      <c r="O1086" s="15"/>
      <c r="P1086" s="15"/>
      <c r="Q1086" s="11"/>
      <c r="R1086" s="11"/>
      <c r="S1086" s="11"/>
      <c r="T1086" s="11"/>
      <c r="U1086" s="15"/>
      <c r="V1086" s="11"/>
      <c r="W1086" s="11"/>
      <c r="X1086" s="11"/>
      <c r="Y1086" s="11"/>
      <c r="Z1086" s="11"/>
    </row>
    <row r="1087">
      <c r="A1087" s="18"/>
      <c r="B1087" s="11"/>
      <c r="C1087" s="11"/>
      <c r="D1087" s="11"/>
      <c r="E1087" s="11"/>
      <c r="F1087" s="11"/>
      <c r="G1087" s="11"/>
      <c r="H1087" s="11"/>
      <c r="I1087" s="11"/>
      <c r="J1087" s="11"/>
      <c r="K1087" s="11"/>
      <c r="L1087" s="15"/>
      <c r="M1087" s="15"/>
      <c r="N1087" s="15"/>
      <c r="O1087" s="15"/>
      <c r="P1087" s="15"/>
      <c r="Q1087" s="11"/>
      <c r="R1087" s="11"/>
      <c r="S1087" s="11"/>
      <c r="T1087" s="11"/>
      <c r="U1087" s="15"/>
      <c r="V1087" s="11"/>
      <c r="W1087" s="11"/>
      <c r="X1087" s="11"/>
      <c r="Y1087" s="11"/>
      <c r="Z1087" s="11"/>
    </row>
    <row r="1088">
      <c r="A1088" s="18"/>
      <c r="B1088" s="11"/>
      <c r="C1088" s="11"/>
      <c r="D1088" s="11"/>
      <c r="E1088" s="11"/>
      <c r="F1088" s="11"/>
      <c r="G1088" s="11"/>
      <c r="H1088" s="11"/>
      <c r="I1088" s="11"/>
      <c r="J1088" s="11"/>
      <c r="K1088" s="11"/>
      <c r="L1088" s="15"/>
      <c r="M1088" s="15"/>
      <c r="N1088" s="15"/>
      <c r="O1088" s="15"/>
      <c r="P1088" s="15"/>
      <c r="Q1088" s="11"/>
      <c r="R1088" s="11"/>
      <c r="S1088" s="11"/>
      <c r="T1088" s="11"/>
      <c r="U1088" s="15"/>
      <c r="V1088" s="11"/>
      <c r="W1088" s="11"/>
      <c r="X1088" s="11"/>
      <c r="Y1088" s="11"/>
      <c r="Z1088" s="11"/>
    </row>
    <row r="1089">
      <c r="A1089" s="18"/>
      <c r="B1089" s="11"/>
      <c r="C1089" s="11"/>
      <c r="D1089" s="11"/>
      <c r="E1089" s="11"/>
      <c r="F1089" s="11"/>
      <c r="G1089" s="11"/>
      <c r="H1089" s="11"/>
      <c r="I1089" s="11"/>
      <c r="J1089" s="11"/>
      <c r="K1089" s="11"/>
      <c r="L1089" s="15"/>
      <c r="M1089" s="15"/>
      <c r="N1089" s="15"/>
      <c r="O1089" s="15"/>
      <c r="P1089" s="15"/>
      <c r="Q1089" s="11"/>
      <c r="R1089" s="11"/>
      <c r="S1089" s="11"/>
      <c r="T1089" s="11"/>
      <c r="U1089" s="15"/>
      <c r="V1089" s="11"/>
      <c r="W1089" s="11"/>
      <c r="X1089" s="11"/>
      <c r="Y1089" s="11"/>
      <c r="Z1089" s="11"/>
    </row>
    <row r="1090">
      <c r="A1090" s="18"/>
      <c r="B1090" s="11"/>
      <c r="C1090" s="11"/>
      <c r="D1090" s="11"/>
      <c r="E1090" s="11"/>
      <c r="F1090" s="11"/>
      <c r="G1090" s="11"/>
      <c r="H1090" s="11"/>
      <c r="I1090" s="11"/>
      <c r="J1090" s="11"/>
      <c r="K1090" s="11"/>
      <c r="L1090" s="15"/>
      <c r="M1090" s="15"/>
      <c r="N1090" s="15"/>
      <c r="O1090" s="15"/>
      <c r="P1090" s="15"/>
      <c r="Q1090" s="11"/>
      <c r="R1090" s="11"/>
      <c r="S1090" s="11"/>
      <c r="T1090" s="11"/>
      <c r="U1090" s="15"/>
      <c r="V1090" s="11"/>
      <c r="W1090" s="11"/>
      <c r="X1090" s="11"/>
      <c r="Y1090" s="11"/>
      <c r="Z1090" s="11"/>
    </row>
    <row r="1091">
      <c r="A1091" s="18"/>
      <c r="B1091" s="11"/>
      <c r="C1091" s="11"/>
      <c r="D1091" s="11"/>
      <c r="E1091" s="11"/>
      <c r="F1091" s="11"/>
      <c r="G1091" s="11"/>
      <c r="H1091" s="11"/>
      <c r="I1091" s="11"/>
      <c r="J1091" s="11"/>
      <c r="K1091" s="11"/>
      <c r="L1091" s="15"/>
      <c r="M1091" s="15"/>
      <c r="N1091" s="15"/>
      <c r="O1091" s="15"/>
      <c r="P1091" s="15"/>
      <c r="Q1091" s="11"/>
      <c r="R1091" s="11"/>
      <c r="S1091" s="11"/>
      <c r="T1091" s="11"/>
      <c r="U1091" s="15"/>
      <c r="V1091" s="11"/>
      <c r="W1091" s="11"/>
      <c r="X1091" s="11"/>
      <c r="Y1091" s="11"/>
      <c r="Z1091" s="11"/>
    </row>
    <row r="1092">
      <c r="A1092" s="18"/>
      <c r="B1092" s="11"/>
      <c r="C1092" s="11"/>
      <c r="D1092" s="11"/>
      <c r="E1092" s="11"/>
      <c r="F1092" s="11"/>
      <c r="G1092" s="11"/>
      <c r="H1092" s="11"/>
      <c r="I1092" s="11"/>
      <c r="J1092" s="11"/>
      <c r="K1092" s="11"/>
      <c r="L1092" s="15"/>
      <c r="M1092" s="15"/>
      <c r="N1092" s="15"/>
      <c r="O1092" s="15"/>
      <c r="P1092" s="15"/>
      <c r="Q1092" s="11"/>
      <c r="R1092" s="11"/>
      <c r="S1092" s="11"/>
      <c r="T1092" s="11"/>
      <c r="U1092" s="15"/>
      <c r="V1092" s="11"/>
      <c r="W1092" s="11"/>
      <c r="X1092" s="11"/>
      <c r="Y1092" s="11"/>
      <c r="Z1092" s="11"/>
    </row>
    <row r="1093">
      <c r="A1093" s="18"/>
      <c r="B1093" s="11"/>
      <c r="C1093" s="11"/>
      <c r="D1093" s="11"/>
      <c r="E1093" s="11"/>
      <c r="F1093" s="11"/>
      <c r="G1093" s="11"/>
      <c r="H1093" s="11"/>
      <c r="I1093" s="11"/>
      <c r="J1093" s="11"/>
      <c r="K1093" s="11"/>
      <c r="L1093" s="15"/>
      <c r="M1093" s="15"/>
      <c r="N1093" s="15"/>
      <c r="O1093" s="15"/>
      <c r="P1093" s="15"/>
      <c r="Q1093" s="11"/>
      <c r="R1093" s="11"/>
      <c r="S1093" s="11"/>
      <c r="T1093" s="11"/>
      <c r="U1093" s="15"/>
      <c r="V1093" s="11"/>
      <c r="W1093" s="11"/>
      <c r="X1093" s="11"/>
      <c r="Y1093" s="11"/>
      <c r="Z1093" s="11"/>
    </row>
    <row r="1094">
      <c r="A1094" s="18"/>
      <c r="B1094" s="11"/>
      <c r="C1094" s="11"/>
      <c r="D1094" s="11"/>
      <c r="E1094" s="11"/>
      <c r="F1094" s="11"/>
      <c r="G1094" s="11"/>
      <c r="H1094" s="11"/>
      <c r="I1094" s="11"/>
      <c r="J1094" s="11"/>
      <c r="K1094" s="11"/>
      <c r="L1094" s="15"/>
      <c r="M1094" s="15"/>
      <c r="N1094" s="15"/>
      <c r="O1094" s="15"/>
      <c r="P1094" s="15"/>
      <c r="Q1094" s="11"/>
      <c r="R1094" s="11"/>
      <c r="S1094" s="11"/>
      <c r="T1094" s="11"/>
      <c r="U1094" s="15"/>
      <c r="V1094" s="11"/>
      <c r="W1094" s="11"/>
      <c r="X1094" s="11"/>
      <c r="Y1094" s="11"/>
      <c r="Z1094" s="11"/>
    </row>
    <row r="1095">
      <c r="A1095" s="18"/>
      <c r="B1095" s="11"/>
      <c r="C1095" s="11"/>
      <c r="D1095" s="11"/>
      <c r="E1095" s="11"/>
      <c r="F1095" s="11"/>
      <c r="G1095" s="11"/>
      <c r="H1095" s="11"/>
      <c r="I1095" s="11"/>
      <c r="J1095" s="11"/>
      <c r="K1095" s="11"/>
      <c r="L1095" s="15"/>
      <c r="M1095" s="15"/>
      <c r="N1095" s="15"/>
      <c r="O1095" s="15"/>
      <c r="P1095" s="15"/>
      <c r="Q1095" s="11"/>
      <c r="R1095" s="11"/>
      <c r="S1095" s="11"/>
      <c r="T1095" s="11"/>
      <c r="U1095" s="15"/>
      <c r="V1095" s="11"/>
      <c r="W1095" s="11"/>
      <c r="X1095" s="11"/>
      <c r="Y1095" s="11"/>
      <c r="Z1095" s="11"/>
    </row>
    <row r="1096">
      <c r="A1096" s="18"/>
      <c r="B1096" s="11"/>
      <c r="C1096" s="11"/>
      <c r="D1096" s="11"/>
      <c r="E1096" s="11"/>
      <c r="F1096" s="11"/>
      <c r="G1096" s="11"/>
      <c r="H1096" s="11"/>
      <c r="I1096" s="11"/>
      <c r="J1096" s="11"/>
      <c r="K1096" s="11"/>
      <c r="L1096" s="15"/>
      <c r="M1096" s="15"/>
      <c r="N1096" s="15"/>
      <c r="O1096" s="15"/>
      <c r="P1096" s="15"/>
      <c r="Q1096" s="11"/>
      <c r="R1096" s="11"/>
      <c r="S1096" s="11"/>
      <c r="T1096" s="11"/>
      <c r="U1096" s="15"/>
      <c r="V1096" s="11"/>
      <c r="W1096" s="11"/>
      <c r="X1096" s="11"/>
      <c r="Y1096" s="11"/>
      <c r="Z1096" s="11"/>
    </row>
    <row r="1097">
      <c r="A1097" s="18"/>
      <c r="B1097" s="11"/>
      <c r="C1097" s="11"/>
      <c r="D1097" s="11"/>
      <c r="E1097" s="11"/>
      <c r="F1097" s="11"/>
      <c r="G1097" s="11"/>
      <c r="H1097" s="11"/>
      <c r="I1097" s="11"/>
      <c r="J1097" s="11"/>
      <c r="K1097" s="11"/>
      <c r="L1097" s="15"/>
      <c r="M1097" s="15"/>
      <c r="N1097" s="15"/>
      <c r="O1097" s="15"/>
      <c r="P1097" s="15"/>
      <c r="Q1097" s="11"/>
      <c r="R1097" s="11"/>
      <c r="S1097" s="11"/>
      <c r="T1097" s="11"/>
      <c r="U1097" s="15"/>
      <c r="V1097" s="11"/>
      <c r="W1097" s="11"/>
      <c r="X1097" s="11"/>
      <c r="Y1097" s="11"/>
      <c r="Z1097" s="11"/>
    </row>
    <row r="1098">
      <c r="A1098" s="18"/>
      <c r="B1098" s="11"/>
      <c r="C1098" s="11"/>
      <c r="D1098" s="11"/>
      <c r="E1098" s="11"/>
      <c r="F1098" s="11"/>
      <c r="G1098" s="11"/>
      <c r="H1098" s="11"/>
      <c r="I1098" s="11"/>
      <c r="J1098" s="11"/>
      <c r="K1098" s="11"/>
      <c r="L1098" s="15"/>
      <c r="M1098" s="15"/>
      <c r="N1098" s="15"/>
      <c r="O1098" s="15"/>
      <c r="P1098" s="15"/>
      <c r="Q1098" s="11"/>
      <c r="R1098" s="11"/>
      <c r="S1098" s="11"/>
      <c r="T1098" s="11"/>
      <c r="U1098" s="15"/>
      <c r="V1098" s="11"/>
      <c r="W1098" s="11"/>
      <c r="X1098" s="11"/>
      <c r="Y1098" s="11"/>
      <c r="Z1098" s="11"/>
    </row>
    <row r="1099">
      <c r="A1099" s="18"/>
      <c r="B1099" s="11"/>
      <c r="C1099" s="11"/>
      <c r="D1099" s="11"/>
      <c r="E1099" s="11"/>
      <c r="F1099" s="11"/>
      <c r="G1099" s="11"/>
      <c r="H1099" s="11"/>
      <c r="I1099" s="11"/>
      <c r="J1099" s="11"/>
      <c r="K1099" s="11"/>
      <c r="L1099" s="15"/>
      <c r="M1099" s="15"/>
      <c r="N1099" s="15"/>
      <c r="O1099" s="15"/>
      <c r="P1099" s="15"/>
      <c r="Q1099" s="11"/>
      <c r="R1099" s="11"/>
      <c r="S1099" s="11"/>
      <c r="T1099" s="11"/>
      <c r="U1099" s="15"/>
      <c r="V1099" s="11"/>
      <c r="W1099" s="11"/>
      <c r="X1099" s="11"/>
      <c r="Y1099" s="11"/>
      <c r="Z1099" s="11"/>
    </row>
    <row r="1100">
      <c r="A1100" s="18"/>
      <c r="B1100" s="11"/>
      <c r="C1100" s="11"/>
      <c r="D1100" s="11"/>
      <c r="E1100" s="11"/>
      <c r="F1100" s="11"/>
      <c r="G1100" s="11"/>
      <c r="H1100" s="11"/>
      <c r="I1100" s="11"/>
      <c r="J1100" s="11"/>
      <c r="K1100" s="11"/>
      <c r="L1100" s="15"/>
      <c r="M1100" s="15"/>
      <c r="N1100" s="15"/>
      <c r="O1100" s="15"/>
      <c r="P1100" s="15"/>
      <c r="Q1100" s="11"/>
      <c r="R1100" s="11"/>
      <c r="S1100" s="11"/>
      <c r="T1100" s="11"/>
      <c r="U1100" s="15"/>
      <c r="V1100" s="11"/>
      <c r="W1100" s="11"/>
      <c r="X1100" s="11"/>
      <c r="Y1100" s="11"/>
      <c r="Z1100" s="11"/>
    </row>
  </sheetData>
  <hyperlinks>
    <hyperlink r:id="rId1" ref="G3"/>
    <hyperlink r:id="rId2" ref="F4"/>
    <hyperlink r:id="rId3" ref="G4"/>
    <hyperlink r:id="rId4" ref="S4"/>
    <hyperlink r:id="rId5" ref="F7"/>
    <hyperlink r:id="rId6" ref="G7"/>
    <hyperlink r:id="rId7" ref="S7"/>
    <hyperlink r:id="rId8" ref="G8"/>
    <hyperlink r:id="rId9" ref="S8"/>
    <hyperlink r:id="rId10" ref="S9"/>
    <hyperlink r:id="rId11" ref="F11"/>
    <hyperlink r:id="rId12" ref="S12"/>
    <hyperlink r:id="rId13" ref="F13"/>
    <hyperlink r:id="rId14" ref="G13"/>
    <hyperlink r:id="rId15" ref="S13"/>
    <hyperlink r:id="rId16" ref="S17"/>
    <hyperlink r:id="rId17" ref="G18"/>
    <hyperlink r:id="rId18" ref="F19"/>
    <hyperlink r:id="rId19" ref="F20"/>
    <hyperlink r:id="rId20" ref="G22"/>
    <hyperlink r:id="rId21" ref="S22"/>
    <hyperlink r:id="rId22" ref="F23"/>
    <hyperlink r:id="rId23" ref="G23"/>
    <hyperlink r:id="rId24" ref="S23"/>
    <hyperlink r:id="rId25" ref="S25"/>
    <hyperlink r:id="rId26" ref="G26"/>
    <hyperlink r:id="rId27" ref="S26"/>
    <hyperlink r:id="rId28" ref="F27"/>
    <hyperlink r:id="rId29" ref="G27"/>
    <hyperlink r:id="rId30" ref="S27"/>
    <hyperlink r:id="rId31" ref="G29"/>
    <hyperlink r:id="rId32" ref="S29"/>
    <hyperlink r:id="rId33" ref="F30"/>
    <hyperlink r:id="rId34" ref="G30"/>
    <hyperlink r:id="rId35" ref="S30"/>
    <hyperlink r:id="rId36" ref="G31"/>
    <hyperlink r:id="rId37" ref="S31"/>
    <hyperlink r:id="rId38" ref="S32"/>
    <hyperlink r:id="rId39" ref="F33"/>
    <hyperlink r:id="rId40" ref="G33"/>
    <hyperlink r:id="rId41" ref="F36"/>
    <hyperlink r:id="rId42" ref="F37"/>
    <hyperlink r:id="rId43" ref="G37"/>
    <hyperlink r:id="rId44" ref="S38"/>
    <hyperlink r:id="rId45" ref="Q43"/>
    <hyperlink r:id="rId46" ref="S43"/>
    <hyperlink r:id="rId47" ref="F44"/>
    <hyperlink r:id="rId48" ref="G44"/>
    <hyperlink r:id="rId49" ref="G46"/>
    <hyperlink r:id="rId50" ref="S46"/>
    <hyperlink r:id="rId51" ref="C47"/>
    <hyperlink r:id="rId52" ref="F47"/>
    <hyperlink r:id="rId53" ref="S47"/>
    <hyperlink r:id="rId54" ref="F48"/>
    <hyperlink r:id="rId55" ref="G48"/>
    <hyperlink r:id="rId56" ref="F49"/>
    <hyperlink r:id="rId57" ref="G49"/>
    <hyperlink r:id="rId58" ref="S50"/>
    <hyperlink r:id="rId59" ref="F51"/>
    <hyperlink r:id="rId60" ref="G51"/>
    <hyperlink r:id="rId61" ref="S52"/>
    <hyperlink r:id="rId62" ref="F53"/>
    <hyperlink r:id="rId63" ref="G53"/>
    <hyperlink r:id="rId64" ref="S53"/>
    <hyperlink r:id="rId65" ref="F54"/>
    <hyperlink r:id="rId66" ref="G55"/>
    <hyperlink r:id="rId67" ref="G56"/>
    <hyperlink r:id="rId68" ref="S56"/>
    <hyperlink r:id="rId69" ref="F57"/>
    <hyperlink r:id="rId70" ref="G57"/>
    <hyperlink r:id="rId71" ref="S57"/>
    <hyperlink r:id="rId72" ref="F58"/>
    <hyperlink r:id="rId73" ref="G58"/>
    <hyperlink r:id="rId74" ref="F59"/>
    <hyperlink r:id="rId75" ref="F60"/>
    <hyperlink r:id="rId76" ref="G60"/>
    <hyperlink r:id="rId77" ref="F62"/>
    <hyperlink r:id="rId78" ref="G62"/>
    <hyperlink r:id="rId79" ref="F63"/>
    <hyperlink r:id="rId80" ref="G63"/>
    <hyperlink r:id="rId81" ref="F64"/>
    <hyperlink r:id="rId82" ref="G64"/>
    <hyperlink r:id="rId83" ref="F65"/>
    <hyperlink r:id="rId84" ref="F66"/>
    <hyperlink r:id="rId85" ref="F70"/>
    <hyperlink r:id="rId86" ref="S70"/>
    <hyperlink r:id="rId87" ref="F71"/>
    <hyperlink r:id="rId88" ref="S71"/>
    <hyperlink r:id="rId89" ref="F72"/>
    <hyperlink r:id="rId90" ref="S72"/>
    <hyperlink r:id="rId91" ref="S73"/>
    <hyperlink r:id="rId92" ref="F74"/>
    <hyperlink r:id="rId93" ref="G74"/>
    <hyperlink r:id="rId94" ref="S74"/>
    <hyperlink r:id="rId95" ref="F76"/>
    <hyperlink r:id="rId96" ref="S77"/>
    <hyperlink r:id="rId97" ref="F78"/>
    <hyperlink r:id="rId98" ref="S78"/>
    <hyperlink r:id="rId99" ref="F79"/>
    <hyperlink r:id="rId100" ref="G79"/>
    <hyperlink r:id="rId101" ref="S79"/>
    <hyperlink r:id="rId102" ref="S80"/>
    <hyperlink r:id="rId103" ref="F81"/>
    <hyperlink r:id="rId104" ref="G81"/>
    <hyperlink r:id="rId105" ref="G85"/>
    <hyperlink r:id="rId106" ref="S87"/>
    <hyperlink r:id="rId107" ref="F90"/>
    <hyperlink r:id="rId108" ref="F92"/>
    <hyperlink r:id="rId109" ref="G92"/>
    <hyperlink r:id="rId110" ref="S96"/>
    <hyperlink r:id="rId111" ref="F97"/>
    <hyperlink r:id="rId112" ref="S97"/>
    <hyperlink r:id="rId113" ref="G99"/>
    <hyperlink r:id="rId114" ref="S99"/>
    <hyperlink r:id="rId115" ref="F101"/>
    <hyperlink r:id="rId116" ref="S101"/>
  </hyperlinks>
  <drawing r:id="rId117"/>
  <tableParts count="1">
    <tablePart r:id="rId11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 width="15.86"/>
    <col customWidth="1" min="3" max="3" width="21.57"/>
    <col customWidth="1" min="4" max="4" width="43.0"/>
    <col customWidth="1" min="5" max="5" width="18.71"/>
    <col customWidth="1" min="6" max="6" width="21.57"/>
  </cols>
  <sheetData>
    <row r="1" ht="24.0" customHeight="1">
      <c r="A1" s="1"/>
      <c r="B1" s="2" t="s">
        <v>1590</v>
      </c>
      <c r="C1" s="3"/>
      <c r="D1" s="3"/>
      <c r="E1" s="3"/>
      <c r="F1" s="3"/>
      <c r="G1" s="3"/>
      <c r="H1" s="3"/>
      <c r="I1" s="3"/>
      <c r="J1" s="3"/>
      <c r="K1" s="3"/>
      <c r="L1" s="4"/>
      <c r="M1" s="4"/>
      <c r="N1" s="4"/>
      <c r="O1" s="4"/>
      <c r="P1" s="4"/>
      <c r="Q1" s="3"/>
      <c r="R1" s="3"/>
      <c r="S1" s="3"/>
      <c r="T1" s="3"/>
      <c r="U1" s="4"/>
      <c r="V1" s="3"/>
      <c r="W1" s="3"/>
      <c r="X1" s="3"/>
      <c r="Y1" s="3"/>
      <c r="Z1" s="3"/>
    </row>
    <row r="2" ht="24.0" customHeight="1">
      <c r="A2" s="5" t="s">
        <v>1</v>
      </c>
      <c r="B2" s="6" t="s">
        <v>2</v>
      </c>
      <c r="C2" s="6" t="s">
        <v>3</v>
      </c>
      <c r="D2" s="6" t="s">
        <v>4</v>
      </c>
      <c r="E2" s="6" t="s">
        <v>5</v>
      </c>
      <c r="F2" s="6" t="s">
        <v>6</v>
      </c>
      <c r="G2" s="6" t="s">
        <v>7</v>
      </c>
      <c r="H2" s="6" t="s">
        <v>8</v>
      </c>
      <c r="I2" s="6" t="s">
        <v>9</v>
      </c>
      <c r="J2" s="6" t="s">
        <v>10</v>
      </c>
      <c r="K2" s="6" t="s">
        <v>11</v>
      </c>
      <c r="L2" s="5" t="s">
        <v>12</v>
      </c>
      <c r="M2" s="5" t="s">
        <v>13</v>
      </c>
      <c r="N2" s="5" t="s">
        <v>14</v>
      </c>
      <c r="O2" s="5" t="s">
        <v>15</v>
      </c>
      <c r="P2" s="5" t="s">
        <v>16</v>
      </c>
      <c r="Q2" s="6" t="s">
        <v>8</v>
      </c>
      <c r="R2" s="6" t="s">
        <v>17</v>
      </c>
      <c r="S2" s="6" t="s">
        <v>18</v>
      </c>
      <c r="T2" s="6" t="s">
        <v>19</v>
      </c>
      <c r="U2" s="5" t="s">
        <v>20</v>
      </c>
      <c r="V2" s="7"/>
      <c r="W2" s="7"/>
      <c r="X2" s="7"/>
      <c r="Y2" s="7"/>
      <c r="Z2" s="7"/>
    </row>
    <row r="3">
      <c r="A3" s="8">
        <v>44222.55364583334</v>
      </c>
      <c r="B3" s="9" t="str">
        <f>HYPERLINK("https://twitter.com/andreagnzalezz","@andreagnzalezz")</f>
        <v>@andreagnzalezz</v>
      </c>
      <c r="C3" s="10" t="s">
        <v>1591</v>
      </c>
      <c r="D3" s="10" t="s">
        <v>1592</v>
      </c>
      <c r="E3" s="9" t="str">
        <f>HYPERLINK("https://twitter.com/andreagnzalezz/status/1354176601781579780","1354176601781579780")</f>
        <v>1354176601781579780</v>
      </c>
      <c r="F3" s="12" t="s">
        <v>1593</v>
      </c>
      <c r="G3" s="11"/>
      <c r="H3" s="11"/>
      <c r="I3" s="13">
        <v>0.0</v>
      </c>
      <c r="J3" s="13">
        <v>1.0</v>
      </c>
      <c r="K3" s="9" t="str">
        <f t="shared" ref="K3:K5" si="1">HYPERLINK("http://twitter.com/download/iphone","Twitter for iPhone")</f>
        <v>Twitter for iPhone</v>
      </c>
      <c r="L3" s="14">
        <v>494.0</v>
      </c>
      <c r="M3" s="14">
        <v>584.0</v>
      </c>
      <c r="N3" s="14">
        <v>0.0</v>
      </c>
      <c r="O3" s="15"/>
      <c r="P3" s="16">
        <v>43471.56584490741</v>
      </c>
      <c r="Q3" s="10" t="s">
        <v>1594</v>
      </c>
      <c r="R3" s="10" t="s">
        <v>1595</v>
      </c>
      <c r="S3" s="12" t="s">
        <v>1596</v>
      </c>
      <c r="T3" s="11"/>
      <c r="U3" s="17" t="str">
        <f>HYPERLINK("https://pbs.twimg.com/profile_images/1333427452778045441/0wAI-hE2.jpg","View")</f>
        <v>View</v>
      </c>
      <c r="V3" s="11"/>
      <c r="W3" s="11"/>
      <c r="X3" s="11"/>
      <c r="Y3" s="11"/>
      <c r="Z3" s="11"/>
    </row>
    <row r="4">
      <c r="A4" s="8">
        <v>44222.55179398148</v>
      </c>
      <c r="B4" s="9" t="str">
        <f>HYPERLINK("https://twitter.com/jaageun","@jaageun")</f>
        <v>@jaageun</v>
      </c>
      <c r="C4" s="10" t="s">
        <v>1597</v>
      </c>
      <c r="D4" s="10" t="s">
        <v>1598</v>
      </c>
      <c r="E4" s="9" t="str">
        <f>HYPERLINK("https://twitter.com/jaageun/status/1354175929250164737","1354175929250164737")</f>
        <v>1354175929250164737</v>
      </c>
      <c r="F4" s="12" t="s">
        <v>1599</v>
      </c>
      <c r="G4" s="11"/>
      <c r="H4" s="11"/>
      <c r="I4" s="13">
        <v>0.0</v>
      </c>
      <c r="J4" s="13">
        <v>1.0</v>
      </c>
      <c r="K4" s="9" t="str">
        <f t="shared" si="1"/>
        <v>Twitter for iPhone</v>
      </c>
      <c r="L4" s="14">
        <v>453.0</v>
      </c>
      <c r="M4" s="14">
        <v>204.0</v>
      </c>
      <c r="N4" s="14">
        <v>13.0</v>
      </c>
      <c r="O4" s="15"/>
      <c r="P4" s="16">
        <v>43466.70744212963</v>
      </c>
      <c r="Q4" s="10" t="s">
        <v>1600</v>
      </c>
      <c r="R4" s="10" t="s">
        <v>1601</v>
      </c>
      <c r="S4" s="11"/>
      <c r="T4" s="11"/>
      <c r="U4" s="17" t="str">
        <f>HYPERLINK("https://pbs.twimg.com/profile_images/1353782484736081922/mU9NoQPe.jpg","View")</f>
        <v>View</v>
      </c>
      <c r="V4" s="11"/>
      <c r="W4" s="11"/>
      <c r="X4" s="11"/>
      <c r="Y4" s="11"/>
      <c r="Z4" s="11"/>
    </row>
    <row r="5">
      <c r="A5" s="8">
        <v>44222.55054398148</v>
      </c>
      <c r="B5" s="9" t="str">
        <f>HYPERLINK("https://twitter.com/bermudez_nachoo","@bermudez_nachoo")</f>
        <v>@bermudez_nachoo</v>
      </c>
      <c r="C5" s="10" t="s">
        <v>1602</v>
      </c>
      <c r="D5" s="10" t="s">
        <v>1603</v>
      </c>
      <c r="E5" s="9" t="str">
        <f>HYPERLINK("https://twitter.com/bermudez_nachoo/status/1354175477095817217","1354175477095817217")</f>
        <v>1354175477095817217</v>
      </c>
      <c r="F5" s="11"/>
      <c r="G5" s="12" t="s">
        <v>1604</v>
      </c>
      <c r="H5" s="11"/>
      <c r="I5" s="13">
        <v>1.0</v>
      </c>
      <c r="J5" s="13">
        <v>3.0</v>
      </c>
      <c r="K5" s="9" t="str">
        <f t="shared" si="1"/>
        <v>Twitter for iPhone</v>
      </c>
      <c r="L5" s="14">
        <v>113.0</v>
      </c>
      <c r="M5" s="14">
        <v>168.0</v>
      </c>
      <c r="N5" s="14">
        <v>0.0</v>
      </c>
      <c r="O5" s="15"/>
      <c r="P5" s="16">
        <v>43937.6274537037</v>
      </c>
      <c r="Q5" s="10" t="s">
        <v>954</v>
      </c>
      <c r="R5" s="10" t="s">
        <v>1605</v>
      </c>
      <c r="S5" s="11"/>
      <c r="T5" s="11"/>
      <c r="U5" s="17" t="str">
        <f>HYPERLINK("https://pbs.twimg.com/profile_images/1353349269030400006/Gbiyo3Vm.jpg","View")</f>
        <v>View</v>
      </c>
      <c r="V5" s="11"/>
      <c r="W5" s="11"/>
      <c r="X5" s="11"/>
      <c r="Y5" s="11"/>
      <c r="Z5" s="11"/>
    </row>
    <row r="6">
      <c r="A6" s="8">
        <v>44222.54760416667</v>
      </c>
      <c r="B6" s="9" t="str">
        <f>HYPERLINK("https://twitter.com/paulaespinossa","@paulaespinossa")</f>
        <v>@paulaespinossa</v>
      </c>
      <c r="C6" s="10" t="s">
        <v>1606</v>
      </c>
      <c r="D6" s="10" t="s">
        <v>1607</v>
      </c>
      <c r="E6" s="9" t="str">
        <f>HYPERLINK("https://twitter.com/paulaespinossa/status/1354174408928145408","1354174408928145408")</f>
        <v>1354174408928145408</v>
      </c>
      <c r="F6" s="11"/>
      <c r="G6" s="11"/>
      <c r="H6" s="11"/>
      <c r="I6" s="13">
        <v>0.0</v>
      </c>
      <c r="J6" s="13">
        <v>1.0</v>
      </c>
      <c r="K6" s="9" t="str">
        <f t="shared" ref="K6:K8" si="2">HYPERLINK("http://twitter.com/download/android","Twitter for Android")</f>
        <v>Twitter for Android</v>
      </c>
      <c r="L6" s="14">
        <v>76.0</v>
      </c>
      <c r="M6" s="14">
        <v>75.0</v>
      </c>
      <c r="N6" s="14">
        <v>0.0</v>
      </c>
      <c r="O6" s="15"/>
      <c r="P6" s="16">
        <v>43867.621724537035</v>
      </c>
      <c r="Q6" s="11"/>
      <c r="R6" s="10" t="s">
        <v>1608</v>
      </c>
      <c r="S6" s="12" t="s">
        <v>1609</v>
      </c>
      <c r="T6" s="11"/>
      <c r="U6" s="17" t="str">
        <f>HYPERLINK("https://pbs.twimg.com/profile_images/1350447160853200896/f6yG54jr.jpg","View")</f>
        <v>View</v>
      </c>
      <c r="V6" s="11"/>
      <c r="W6" s="11"/>
      <c r="X6" s="11"/>
      <c r="Y6" s="11"/>
      <c r="Z6" s="11"/>
    </row>
    <row r="7">
      <c r="A7" s="8">
        <v>44222.54328703704</v>
      </c>
      <c r="B7" s="9" t="str">
        <f>HYPERLINK("https://twitter.com/Diujarlo825did2","@Diujarlo825did2")</f>
        <v>@Diujarlo825did2</v>
      </c>
      <c r="C7" s="10" t="s">
        <v>1610</v>
      </c>
      <c r="D7" s="10" t="s">
        <v>1611</v>
      </c>
      <c r="E7" s="9" t="str">
        <f>HYPERLINK("https://twitter.com/Diujarlo825did2/status/1354172846214422534","1354172846214422534")</f>
        <v>1354172846214422534</v>
      </c>
      <c r="F7" s="11"/>
      <c r="G7" s="11"/>
      <c r="H7" s="11"/>
      <c r="I7" s="13">
        <v>8.0</v>
      </c>
      <c r="J7" s="13">
        <v>9.0</v>
      </c>
      <c r="K7" s="9" t="str">
        <f t="shared" si="2"/>
        <v>Twitter for Android</v>
      </c>
      <c r="L7" s="14">
        <v>6658.0</v>
      </c>
      <c r="M7" s="14">
        <v>6220.0</v>
      </c>
      <c r="N7" s="14">
        <v>3.0</v>
      </c>
      <c r="O7" s="15"/>
      <c r="P7" s="16">
        <v>43880.23269675926</v>
      </c>
      <c r="Q7" s="11"/>
      <c r="R7" s="10" t="s">
        <v>1612</v>
      </c>
      <c r="S7" s="11"/>
      <c r="T7" s="11"/>
      <c r="U7" s="17" t="str">
        <f>HYPERLINK("https://pbs.twimg.com/profile_images/1354053841336020993/wZkJbo3m.jpg","View")</f>
        <v>View</v>
      </c>
      <c r="V7" s="11"/>
      <c r="W7" s="11"/>
      <c r="X7" s="11"/>
      <c r="Y7" s="11"/>
      <c r="Z7" s="11"/>
    </row>
    <row r="8">
      <c r="A8" s="8">
        <v>44222.543067129634</v>
      </c>
      <c r="B8" s="9" t="str">
        <f>HYPERLINK("https://twitter.com/ValenToro7","@ValenToro7")</f>
        <v>@ValenToro7</v>
      </c>
      <c r="C8" s="10" t="s">
        <v>1613</v>
      </c>
      <c r="D8" s="10" t="s">
        <v>1614</v>
      </c>
      <c r="E8" s="9" t="str">
        <f>HYPERLINK("https://twitter.com/ValenToro7/status/1354172765113376769","1354172765113376769")</f>
        <v>1354172765113376769</v>
      </c>
      <c r="F8" s="11"/>
      <c r="G8" s="11"/>
      <c r="H8" s="11"/>
      <c r="I8" s="13">
        <v>0.0</v>
      </c>
      <c r="J8" s="13">
        <v>0.0</v>
      </c>
      <c r="K8" s="9" t="str">
        <f t="shared" si="2"/>
        <v>Twitter for Android</v>
      </c>
      <c r="L8" s="14">
        <v>281.0</v>
      </c>
      <c r="M8" s="14">
        <v>206.0</v>
      </c>
      <c r="N8" s="14">
        <v>0.0</v>
      </c>
      <c r="O8" s="15"/>
      <c r="P8" s="16">
        <v>43498.71780092592</v>
      </c>
      <c r="Q8" s="11"/>
      <c r="R8" s="10" t="s">
        <v>1615</v>
      </c>
      <c r="S8" s="11"/>
      <c r="T8" s="11"/>
      <c r="U8" s="17" t="str">
        <f>HYPERLINK("https://pbs.twimg.com/profile_images/1349154316377088000/xjiwHmDZ.jpg","View")</f>
        <v>View</v>
      </c>
      <c r="V8" s="11"/>
      <c r="W8" s="11"/>
      <c r="X8" s="11"/>
      <c r="Y8" s="11"/>
      <c r="Z8" s="11"/>
    </row>
    <row r="9">
      <c r="A9" s="8">
        <v>44222.541851851856</v>
      </c>
      <c r="B9" s="9" t="str">
        <f>HYPERLINK("https://twitter.com/_jenfrx","@_jenfrx")</f>
        <v>@_jenfrx</v>
      </c>
      <c r="C9" s="10" t="s">
        <v>1616</v>
      </c>
      <c r="D9" s="10" t="s">
        <v>1617</v>
      </c>
      <c r="E9" s="9" t="str">
        <f>HYPERLINK("https://twitter.com/_jenfrx/status/1354172324417851398","1354172324417851398")</f>
        <v>1354172324417851398</v>
      </c>
      <c r="F9" s="11"/>
      <c r="G9" s="11"/>
      <c r="H9" s="11"/>
      <c r="I9" s="13">
        <v>0.0</v>
      </c>
      <c r="J9" s="13">
        <v>0.0</v>
      </c>
      <c r="K9" s="9" t="str">
        <f>HYPERLINK("http://twitter.com/download/iphone","Twitter for iPhone")</f>
        <v>Twitter for iPhone</v>
      </c>
      <c r="L9" s="14">
        <v>39.0</v>
      </c>
      <c r="M9" s="14">
        <v>80.0</v>
      </c>
      <c r="N9" s="14">
        <v>0.0</v>
      </c>
      <c r="O9" s="15"/>
      <c r="P9" s="16">
        <v>43575.821747685186</v>
      </c>
      <c r="Q9" s="11"/>
      <c r="R9" s="10" t="s">
        <v>1618</v>
      </c>
      <c r="S9" s="11"/>
      <c r="T9" s="11"/>
      <c r="U9" s="17" t="str">
        <f>HYPERLINK("https://pbs.twimg.com/profile_images/1353574021816872966/lCk7-cpm.jpg","View")</f>
        <v>View</v>
      </c>
      <c r="V9" s="11"/>
      <c r="W9" s="11"/>
      <c r="X9" s="11"/>
      <c r="Y9" s="11"/>
      <c r="Z9" s="11"/>
    </row>
    <row r="10">
      <c r="A10" s="8">
        <v>44222.5418287037</v>
      </c>
      <c r="B10" s="9" t="str">
        <f>HYPERLINK("https://twitter.com/nacar181","@nacar181")</f>
        <v>@nacar181</v>
      </c>
      <c r="C10" s="10" t="s">
        <v>1619</v>
      </c>
      <c r="D10" s="10" t="s">
        <v>1620</v>
      </c>
      <c r="E10" s="9" t="str">
        <f>HYPERLINK("https://twitter.com/nacar181/status/1354172316662509568","1354172316662509568")</f>
        <v>1354172316662509568</v>
      </c>
      <c r="F10" s="11"/>
      <c r="G10" s="11"/>
      <c r="H10" s="11"/>
      <c r="I10" s="13">
        <v>0.0</v>
      </c>
      <c r="J10" s="13">
        <v>2.0</v>
      </c>
      <c r="K10" s="9" t="str">
        <f t="shared" ref="K10:K13" si="3">HYPERLINK("http://twitter.com/download/android","Twitter for Android")</f>
        <v>Twitter for Android</v>
      </c>
      <c r="L10" s="14">
        <v>375.0</v>
      </c>
      <c r="M10" s="14">
        <v>827.0</v>
      </c>
      <c r="N10" s="14">
        <v>1.0</v>
      </c>
      <c r="O10" s="15"/>
      <c r="P10" s="16">
        <v>41291.27689814815</v>
      </c>
      <c r="Q10" s="11"/>
      <c r="R10" s="10" t="s">
        <v>1621</v>
      </c>
      <c r="S10" s="11"/>
      <c r="T10" s="11"/>
      <c r="U10" s="17" t="str">
        <f>HYPERLINK("https://pbs.twimg.com/profile_images/1354173159109496832/JkE232-k.jpg","View")</f>
        <v>View</v>
      </c>
      <c r="V10" s="11"/>
      <c r="W10" s="11"/>
      <c r="X10" s="11"/>
      <c r="Y10" s="11"/>
      <c r="Z10" s="11"/>
    </row>
    <row r="11">
      <c r="A11" s="8">
        <v>44222.54170138889</v>
      </c>
      <c r="B11" s="9" t="str">
        <f>HYPERLINK("https://twitter.com/Sedith512","@Sedith512")</f>
        <v>@Sedith512</v>
      </c>
      <c r="C11" s="10" t="s">
        <v>1622</v>
      </c>
      <c r="D11" s="10" t="s">
        <v>1623</v>
      </c>
      <c r="E11" s="9" t="str">
        <f>HYPERLINK("https://twitter.com/Sedith512/status/1354172272647360512","1354172272647360512")</f>
        <v>1354172272647360512</v>
      </c>
      <c r="F11" s="11"/>
      <c r="G11" s="11"/>
      <c r="H11" s="11"/>
      <c r="I11" s="13">
        <v>0.0</v>
      </c>
      <c r="J11" s="13">
        <v>0.0</v>
      </c>
      <c r="K11" s="9" t="str">
        <f t="shared" si="3"/>
        <v>Twitter for Android</v>
      </c>
      <c r="L11" s="14">
        <v>67.0</v>
      </c>
      <c r="M11" s="14">
        <v>147.0</v>
      </c>
      <c r="N11" s="14">
        <v>1.0</v>
      </c>
      <c r="O11" s="15"/>
      <c r="P11" s="16">
        <v>41201.6622337963</v>
      </c>
      <c r="Q11" s="10" t="s">
        <v>55</v>
      </c>
      <c r="R11" s="11"/>
      <c r="S11" s="11"/>
      <c r="T11" s="11"/>
      <c r="U11" s="17" t="str">
        <f>HYPERLINK("https://pbs.twimg.com/profile_images/1353198019634585602/Q3WaZoKx.jpg","View")</f>
        <v>View</v>
      </c>
      <c r="V11" s="11"/>
      <c r="W11" s="11"/>
      <c r="X11" s="11"/>
      <c r="Y11" s="11"/>
      <c r="Z11" s="11"/>
    </row>
    <row r="12">
      <c r="A12" s="8">
        <v>44222.539143518516</v>
      </c>
      <c r="B12" s="9" t="str">
        <f>HYPERLINK("https://twitter.com/Brii_ramirez1","@Brii_ramirez1")</f>
        <v>@Brii_ramirez1</v>
      </c>
      <c r="C12" s="10" t="s">
        <v>1624</v>
      </c>
      <c r="D12" s="10" t="s">
        <v>1625</v>
      </c>
      <c r="E12" s="9" t="str">
        <f>HYPERLINK("https://twitter.com/Brii_ramirez1/status/1354171342850035712","1354171342850035712")</f>
        <v>1354171342850035712</v>
      </c>
      <c r="F12" s="11"/>
      <c r="G12" s="11"/>
      <c r="H12" s="11"/>
      <c r="I12" s="13">
        <v>0.0</v>
      </c>
      <c r="J12" s="13">
        <v>0.0</v>
      </c>
      <c r="K12" s="9" t="str">
        <f t="shared" si="3"/>
        <v>Twitter for Android</v>
      </c>
      <c r="L12" s="14">
        <v>150.0</v>
      </c>
      <c r="M12" s="14">
        <v>76.0</v>
      </c>
      <c r="N12" s="14">
        <v>0.0</v>
      </c>
      <c r="O12" s="15"/>
      <c r="P12" s="16">
        <v>43238.771273148144</v>
      </c>
      <c r="Q12" s="11"/>
      <c r="R12" s="10" t="s">
        <v>1626</v>
      </c>
      <c r="S12" s="11"/>
      <c r="T12" s="11"/>
      <c r="U12" s="17" t="str">
        <f>HYPERLINK("https://pbs.twimg.com/profile_images/1350607566016020491/fEYJudqv.jpg","View")</f>
        <v>View</v>
      </c>
      <c r="V12" s="11"/>
      <c r="W12" s="11"/>
      <c r="X12" s="11"/>
      <c r="Y12" s="11"/>
      <c r="Z12" s="11"/>
    </row>
    <row r="13">
      <c r="A13" s="8">
        <v>44222.53901620371</v>
      </c>
      <c r="B13" s="9" t="str">
        <f>HYPERLINK("https://twitter.com/pizzahacendado","@pizzahacendado")</f>
        <v>@pizzahacendado</v>
      </c>
      <c r="C13" s="10" t="s">
        <v>1627</v>
      </c>
      <c r="D13" s="10" t="s">
        <v>1628</v>
      </c>
      <c r="E13" s="9" t="str">
        <f>HYPERLINK("https://twitter.com/pizzahacendado/status/1354171298386214912","1354171298386214912")</f>
        <v>1354171298386214912</v>
      </c>
      <c r="F13" s="11"/>
      <c r="G13" s="11"/>
      <c r="H13" s="11"/>
      <c r="I13" s="13">
        <v>0.0</v>
      </c>
      <c r="J13" s="13">
        <v>1.0</v>
      </c>
      <c r="K13" s="9" t="str">
        <f t="shared" si="3"/>
        <v>Twitter for Android</v>
      </c>
      <c r="L13" s="14">
        <v>83.0</v>
      </c>
      <c r="M13" s="14">
        <v>127.0</v>
      </c>
      <c r="N13" s="14">
        <v>0.0</v>
      </c>
      <c r="O13" s="15"/>
      <c r="P13" s="16">
        <v>44038.54142361111</v>
      </c>
      <c r="Q13" s="11"/>
      <c r="R13" s="10" t="s">
        <v>1629</v>
      </c>
      <c r="S13" s="12" t="s">
        <v>1630</v>
      </c>
      <c r="T13" s="11"/>
      <c r="U13" s="17" t="str">
        <f>HYPERLINK("https://pbs.twimg.com/profile_images/1323638633967046656/G0A8qSlQ.jpg","View")</f>
        <v>View</v>
      </c>
      <c r="V13" s="11"/>
      <c r="W13" s="11"/>
      <c r="X13" s="11"/>
      <c r="Y13" s="11"/>
      <c r="Z13" s="11"/>
    </row>
    <row r="14">
      <c r="A14" s="8">
        <v>44222.5384375</v>
      </c>
      <c r="B14" s="9" t="str">
        <f>HYPERLINK("https://twitter.com/yami_santy","@yami_santy")</f>
        <v>@yami_santy</v>
      </c>
      <c r="C14" s="10" t="s">
        <v>1631</v>
      </c>
      <c r="D14" s="10" t="s">
        <v>1632</v>
      </c>
      <c r="E14" s="9" t="str">
        <f>HYPERLINK("https://twitter.com/yami_santy/status/1354171088847204353","1354171088847204353")</f>
        <v>1354171088847204353</v>
      </c>
      <c r="F14" s="11"/>
      <c r="G14" s="11"/>
      <c r="H14" s="11"/>
      <c r="I14" s="13">
        <v>0.0</v>
      </c>
      <c r="J14" s="13">
        <v>0.0</v>
      </c>
      <c r="K14" s="9" t="str">
        <f>HYPERLINK("http://twitter.com/download/iphone","Twitter for iPhone")</f>
        <v>Twitter for iPhone</v>
      </c>
      <c r="L14" s="14">
        <v>785.0</v>
      </c>
      <c r="M14" s="14">
        <v>818.0</v>
      </c>
      <c r="N14" s="14">
        <v>3.0</v>
      </c>
      <c r="O14" s="15"/>
      <c r="P14" s="16">
        <v>41418.35701388889</v>
      </c>
      <c r="Q14" s="10" t="s">
        <v>1633</v>
      </c>
      <c r="R14" s="10" t="s">
        <v>1634</v>
      </c>
      <c r="S14" s="11"/>
      <c r="T14" s="11"/>
      <c r="U14" s="17" t="str">
        <f>HYPERLINK("https://pbs.twimg.com/profile_images/1346825597369126915/-PBoc0uK.jpg","View")</f>
        <v>View</v>
      </c>
      <c r="V14" s="11"/>
      <c r="W14" s="11"/>
      <c r="X14" s="11"/>
      <c r="Y14" s="11"/>
      <c r="Z14" s="11"/>
    </row>
    <row r="15">
      <c r="A15" s="8">
        <v>44222.53637731481</v>
      </c>
      <c r="B15" s="9" t="str">
        <f>HYPERLINK("https://twitter.com/spiidersense","@spiidersense")</f>
        <v>@spiidersense</v>
      </c>
      <c r="C15" s="10" t="s">
        <v>1635</v>
      </c>
      <c r="D15" s="10" t="s">
        <v>1636</v>
      </c>
      <c r="E15" s="9" t="str">
        <f>HYPERLINK("https://twitter.com/spiidersense/status/1354170343699730432","1354170343699730432")</f>
        <v>1354170343699730432</v>
      </c>
      <c r="F15" s="11"/>
      <c r="G15" s="11"/>
      <c r="H15" s="11"/>
      <c r="I15" s="13">
        <v>0.0</v>
      </c>
      <c r="J15" s="13">
        <v>1.0</v>
      </c>
      <c r="K15" s="9" t="str">
        <f t="shared" ref="K15:K17" si="4">HYPERLINK("http://twitter.com/download/android","Twitter for Android")</f>
        <v>Twitter for Android</v>
      </c>
      <c r="L15" s="14">
        <v>417.0</v>
      </c>
      <c r="M15" s="14">
        <v>470.0</v>
      </c>
      <c r="N15" s="14">
        <v>2.0</v>
      </c>
      <c r="O15" s="15"/>
      <c r="P15" s="16">
        <v>44115.12626157407</v>
      </c>
      <c r="Q15" s="10" t="s">
        <v>1637</v>
      </c>
      <c r="R15" s="10" t="s">
        <v>1638</v>
      </c>
      <c r="S15" s="11"/>
      <c r="T15" s="11"/>
      <c r="U15" s="17" t="str">
        <f>HYPERLINK("https://pbs.twimg.com/profile_images/1352920704149237761/Rfzl6LDt.jpg","View")</f>
        <v>View</v>
      </c>
      <c r="V15" s="11"/>
      <c r="W15" s="11"/>
      <c r="X15" s="11"/>
      <c r="Y15" s="11"/>
      <c r="Z15" s="11"/>
    </row>
    <row r="16">
      <c r="A16" s="8">
        <v>44222.53480324074</v>
      </c>
      <c r="B16" s="9" t="str">
        <f>HYPERLINK("https://twitter.com/LusyGeorge","@LusyGeorge")</f>
        <v>@LusyGeorge</v>
      </c>
      <c r="C16" s="10" t="s">
        <v>1639</v>
      </c>
      <c r="D16" s="10" t="s">
        <v>1640</v>
      </c>
      <c r="E16" s="9" t="str">
        <f>HYPERLINK("https://twitter.com/LusyGeorge/status/1354169770065735682","1354169770065735682")</f>
        <v>1354169770065735682</v>
      </c>
      <c r="F16" s="11"/>
      <c r="G16" s="11"/>
      <c r="H16" s="11"/>
      <c r="I16" s="13">
        <v>0.0</v>
      </c>
      <c r="J16" s="13">
        <v>0.0</v>
      </c>
      <c r="K16" s="9" t="str">
        <f t="shared" si="4"/>
        <v>Twitter for Android</v>
      </c>
      <c r="L16" s="14">
        <v>1059.0</v>
      </c>
      <c r="M16" s="14">
        <v>537.0</v>
      </c>
      <c r="N16" s="14">
        <v>13.0</v>
      </c>
      <c r="O16" s="15"/>
      <c r="P16" s="16">
        <v>41171.44440972222</v>
      </c>
      <c r="Q16" s="10" t="s">
        <v>1641</v>
      </c>
      <c r="R16" s="10" t="s">
        <v>1642</v>
      </c>
      <c r="S16" s="12" t="s">
        <v>1643</v>
      </c>
      <c r="T16" s="11"/>
      <c r="U16" s="17" t="str">
        <f>HYPERLINK("https://pbs.twimg.com/profile_images/1295656865548902401/1BsLLie3.jpg","View")</f>
        <v>View</v>
      </c>
      <c r="V16" s="11"/>
      <c r="W16" s="11"/>
      <c r="X16" s="11"/>
      <c r="Y16" s="11"/>
      <c r="Z16" s="11"/>
    </row>
    <row r="17">
      <c r="A17" s="8">
        <v>44222.53188657407</v>
      </c>
      <c r="B17" s="9" t="str">
        <f>HYPERLINK("https://twitter.com/moritaslife","@moritaslife")</f>
        <v>@moritaslife</v>
      </c>
      <c r="C17" s="10" t="s">
        <v>1644</v>
      </c>
      <c r="D17" s="10" t="s">
        <v>1645</v>
      </c>
      <c r="E17" s="9" t="str">
        <f>HYPERLINK("https://twitter.com/moritaslife/status/1354168713445072897","1354168713445072897")</f>
        <v>1354168713445072897</v>
      </c>
      <c r="F17" s="11"/>
      <c r="G17" s="11"/>
      <c r="H17" s="11"/>
      <c r="I17" s="13">
        <v>0.0</v>
      </c>
      <c r="J17" s="13">
        <v>0.0</v>
      </c>
      <c r="K17" s="9" t="str">
        <f t="shared" si="4"/>
        <v>Twitter for Android</v>
      </c>
      <c r="L17" s="14">
        <v>110.0</v>
      </c>
      <c r="M17" s="14">
        <v>205.0</v>
      </c>
      <c r="N17" s="14">
        <v>0.0</v>
      </c>
      <c r="O17" s="15"/>
      <c r="P17" s="16">
        <v>42124.68391203704</v>
      </c>
      <c r="Q17" s="11"/>
      <c r="R17" s="10" t="s">
        <v>1646</v>
      </c>
      <c r="S17" s="11"/>
      <c r="T17" s="11"/>
      <c r="U17" s="17" t="str">
        <f>HYPERLINK("https://pbs.twimg.com/profile_images/1349975995705602050/Jd5a8stf.jpg","View")</f>
        <v>View</v>
      </c>
      <c r="V17" s="11"/>
      <c r="W17" s="11"/>
      <c r="X17" s="11"/>
      <c r="Y17" s="11"/>
      <c r="Z17" s="11"/>
    </row>
    <row r="18">
      <c r="A18" s="8">
        <v>44222.53152777778</v>
      </c>
      <c r="B18" s="9" t="str">
        <f>HYPERLINK("https://twitter.com/wikiotomes","@wikiotomes")</f>
        <v>@wikiotomes</v>
      </c>
      <c r="C18" s="10" t="s">
        <v>1647</v>
      </c>
      <c r="D18" s="10" t="s">
        <v>1648</v>
      </c>
      <c r="E18" s="9" t="str">
        <f>HYPERLINK("https://twitter.com/wikiotomes/status/1354168586366038022","1354168586366038022")</f>
        <v>1354168586366038022</v>
      </c>
      <c r="F18" s="11"/>
      <c r="G18" s="11"/>
      <c r="H18" s="11"/>
      <c r="I18" s="13">
        <v>0.0</v>
      </c>
      <c r="J18" s="13">
        <v>2.0</v>
      </c>
      <c r="K18" s="9" t="str">
        <f>HYPERLINK("https://mobile.twitter.com","Twitter Web App")</f>
        <v>Twitter Web App</v>
      </c>
      <c r="L18" s="14">
        <v>233.0</v>
      </c>
      <c r="M18" s="14">
        <v>223.0</v>
      </c>
      <c r="N18" s="14">
        <v>15.0</v>
      </c>
      <c r="O18" s="15"/>
      <c r="P18" s="16">
        <v>41595.483136574076</v>
      </c>
      <c r="Q18" s="10" t="s">
        <v>1649</v>
      </c>
      <c r="R18" s="10" t="s">
        <v>1650</v>
      </c>
      <c r="S18" s="12" t="s">
        <v>1651</v>
      </c>
      <c r="T18" s="11"/>
      <c r="U18" s="17" t="str">
        <f>HYPERLINK("https://pbs.twimg.com/profile_images/1351926068140249088/IjcFqn7U.jpg","View")</f>
        <v>View</v>
      </c>
      <c r="V18" s="11"/>
      <c r="W18" s="11"/>
      <c r="X18" s="11"/>
      <c r="Y18" s="11"/>
      <c r="Z18" s="11"/>
    </row>
    <row r="19">
      <c r="A19" s="8">
        <v>44222.53145833334</v>
      </c>
      <c r="B19" s="9" t="str">
        <f>HYPERLINK("https://twitter.com/AngelesZamacona","@AngelesZamacona")</f>
        <v>@AngelesZamacona</v>
      </c>
      <c r="C19" s="10" t="s">
        <v>1652</v>
      </c>
      <c r="D19" s="10" t="s">
        <v>1653</v>
      </c>
      <c r="E19" s="9" t="str">
        <f>HYPERLINK("https://twitter.com/AngelesZamacona/status/1354168558016749568","1354168558016749568")</f>
        <v>1354168558016749568</v>
      </c>
      <c r="F19" s="12" t="s">
        <v>1654</v>
      </c>
      <c r="G19" s="11"/>
      <c r="H19" s="11"/>
      <c r="I19" s="13">
        <v>0.0</v>
      </c>
      <c r="J19" s="13">
        <v>0.0</v>
      </c>
      <c r="K19" s="9" t="str">
        <f>HYPERLINK("http://twitter.com/download/android","Twitter for Android")</f>
        <v>Twitter for Android</v>
      </c>
      <c r="L19" s="14">
        <v>122.0</v>
      </c>
      <c r="M19" s="14">
        <v>427.0</v>
      </c>
      <c r="N19" s="14">
        <v>2.0</v>
      </c>
      <c r="O19" s="15"/>
      <c r="P19" s="16">
        <v>40695.91962962963</v>
      </c>
      <c r="Q19" s="10" t="s">
        <v>1139</v>
      </c>
      <c r="R19" s="10" t="s">
        <v>1655</v>
      </c>
      <c r="S19" s="11"/>
      <c r="T19" s="11"/>
      <c r="U19" s="17" t="str">
        <f>HYPERLINK("https://pbs.twimg.com/profile_images/1025249539312300032/xzm-E1cR.jpg","View")</f>
        <v>View</v>
      </c>
      <c r="V19" s="11"/>
      <c r="W19" s="11"/>
      <c r="X19" s="11"/>
      <c r="Y19" s="11"/>
      <c r="Z19" s="11"/>
    </row>
    <row r="20">
      <c r="A20" s="8">
        <v>44222.53011574074</v>
      </c>
      <c r="B20" s="9" t="str">
        <f>HYPERLINK("https://twitter.com/pamsmena_","@pamsmena_")</f>
        <v>@pamsmena_</v>
      </c>
      <c r="C20" s="10" t="s">
        <v>1656</v>
      </c>
      <c r="D20" s="10" t="s">
        <v>1657</v>
      </c>
      <c r="E20" s="9" t="str">
        <f>HYPERLINK("https://twitter.com/pamsmena_/status/1354168075059392513","1354168075059392513")</f>
        <v>1354168075059392513</v>
      </c>
      <c r="F20" s="11"/>
      <c r="G20" s="11"/>
      <c r="H20" s="11"/>
      <c r="I20" s="13">
        <v>0.0</v>
      </c>
      <c r="J20" s="13">
        <v>0.0</v>
      </c>
      <c r="K20" s="9" t="str">
        <f t="shared" ref="K20:K21" si="5">HYPERLINK("http://twitter.com/download/iphone","Twitter for iPhone")</f>
        <v>Twitter for iPhone</v>
      </c>
      <c r="L20" s="14">
        <v>225.0</v>
      </c>
      <c r="M20" s="14">
        <v>112.0</v>
      </c>
      <c r="N20" s="14">
        <v>0.0</v>
      </c>
      <c r="O20" s="15"/>
      <c r="P20" s="16">
        <v>41167.28407407407</v>
      </c>
      <c r="Q20" s="10" t="s">
        <v>1658</v>
      </c>
      <c r="R20" s="10" t="s">
        <v>1659</v>
      </c>
      <c r="S20" s="11"/>
      <c r="T20" s="11"/>
      <c r="U20" s="17" t="str">
        <f>HYPERLINK("https://pbs.twimg.com/profile_images/1344052157419556865/jETT8iO0.jpg","View")</f>
        <v>View</v>
      </c>
      <c r="V20" s="11"/>
      <c r="W20" s="11"/>
      <c r="X20" s="11"/>
      <c r="Y20" s="11"/>
      <c r="Z20" s="11"/>
    </row>
    <row r="21">
      <c r="A21" s="8">
        <v>44222.52915509259</v>
      </c>
      <c r="B21" s="9" t="str">
        <f>HYPERLINK("https://twitter.com/hachiko240","@hachiko240")</f>
        <v>@hachiko240</v>
      </c>
      <c r="C21" s="10" t="s">
        <v>1660</v>
      </c>
      <c r="D21" s="10" t="s">
        <v>1661</v>
      </c>
      <c r="E21" s="9" t="str">
        <f>HYPERLINK("https://twitter.com/hachiko240/status/1354167724759535616","1354167724759535616")</f>
        <v>1354167724759535616</v>
      </c>
      <c r="F21" s="11"/>
      <c r="G21" s="11"/>
      <c r="H21" s="11"/>
      <c r="I21" s="13">
        <v>0.0</v>
      </c>
      <c r="J21" s="13">
        <v>0.0</v>
      </c>
      <c r="K21" s="9" t="str">
        <f t="shared" si="5"/>
        <v>Twitter for iPhone</v>
      </c>
      <c r="L21" s="14">
        <v>495.0</v>
      </c>
      <c r="M21" s="14">
        <v>268.0</v>
      </c>
      <c r="N21" s="14">
        <v>3.0</v>
      </c>
      <c r="O21" s="15"/>
      <c r="P21" s="16">
        <v>43618.078946759255</v>
      </c>
      <c r="Q21" s="10" t="s">
        <v>515</v>
      </c>
      <c r="R21" s="11"/>
      <c r="S21" s="11"/>
      <c r="T21" s="11"/>
      <c r="U21" s="17" t="str">
        <f>HYPERLINK("https://pbs.twimg.com/profile_images/1286994583453339648/vDu1HTm-.jpg","View")</f>
        <v>View</v>
      </c>
      <c r="V21" s="11"/>
      <c r="W21" s="11"/>
      <c r="X21" s="11"/>
      <c r="Y21" s="11"/>
      <c r="Z21" s="11"/>
    </row>
    <row r="22">
      <c r="A22" s="8">
        <v>44222.525347222225</v>
      </c>
      <c r="B22" s="9" t="str">
        <f>HYPERLINK("https://twitter.com/medicen_tina","@medicen_tina")</f>
        <v>@medicen_tina</v>
      </c>
      <c r="C22" s="10" t="s">
        <v>1662</v>
      </c>
      <c r="D22" s="10" t="s">
        <v>1663</v>
      </c>
      <c r="E22" s="9" t="str">
        <f>HYPERLINK("https://twitter.com/medicen_tina/status/1354166345504587776","1354166345504587776")</f>
        <v>1354166345504587776</v>
      </c>
      <c r="F22" s="11"/>
      <c r="G22" s="11"/>
      <c r="H22" s="11"/>
      <c r="I22" s="13">
        <v>0.0</v>
      </c>
      <c r="J22" s="13">
        <v>0.0</v>
      </c>
      <c r="K22" s="9" t="str">
        <f t="shared" ref="K22:K25" si="6">HYPERLINK("http://twitter.com/download/android","Twitter for Android")</f>
        <v>Twitter for Android</v>
      </c>
      <c r="L22" s="14">
        <v>198.0</v>
      </c>
      <c r="M22" s="14">
        <v>371.0</v>
      </c>
      <c r="N22" s="14">
        <v>0.0</v>
      </c>
      <c r="O22" s="15"/>
      <c r="P22" s="16">
        <v>41328.86732638889</v>
      </c>
      <c r="Q22" s="10" t="s">
        <v>1664</v>
      </c>
      <c r="R22" s="10" t="s">
        <v>1665</v>
      </c>
      <c r="S22" s="11"/>
      <c r="T22" s="11"/>
      <c r="U22" s="17" t="str">
        <f>HYPERLINK("https://pbs.twimg.com/profile_images/1352681982451474433/2FvA6qvn.jpg","View")</f>
        <v>View</v>
      </c>
      <c r="V22" s="11"/>
      <c r="W22" s="11"/>
      <c r="X22" s="11"/>
      <c r="Y22" s="11"/>
      <c r="Z22" s="11"/>
    </row>
    <row r="23">
      <c r="A23" s="8">
        <v>44222.52505787037</v>
      </c>
      <c r="B23" s="9" t="str">
        <f>HYPERLINK("https://twitter.com/MariaSotto_","@MariaSotto_")</f>
        <v>@MariaSotto_</v>
      </c>
      <c r="C23" s="10" t="s">
        <v>1666</v>
      </c>
      <c r="D23" s="10" t="s">
        <v>1667</v>
      </c>
      <c r="E23" s="9" t="str">
        <f>HYPERLINK("https://twitter.com/MariaSotto_/status/1354166240764440576","1354166240764440576")</f>
        <v>1354166240764440576</v>
      </c>
      <c r="F23" s="11"/>
      <c r="G23" s="11"/>
      <c r="H23" s="11"/>
      <c r="I23" s="13">
        <v>0.0</v>
      </c>
      <c r="J23" s="13">
        <v>1.0</v>
      </c>
      <c r="K23" s="9" t="str">
        <f t="shared" si="6"/>
        <v>Twitter for Android</v>
      </c>
      <c r="L23" s="14">
        <v>122.0</v>
      </c>
      <c r="M23" s="14">
        <v>106.0</v>
      </c>
      <c r="N23" s="14">
        <v>0.0</v>
      </c>
      <c r="O23" s="15"/>
      <c r="P23" s="16">
        <v>43970.330289351856</v>
      </c>
      <c r="Q23" s="11"/>
      <c r="R23" s="10" t="s">
        <v>1668</v>
      </c>
      <c r="S23" s="11"/>
      <c r="T23" s="11"/>
      <c r="U23" s="17" t="str">
        <f>HYPERLINK("https://pbs.twimg.com/profile_images/1345423739123621888/8uaji76f.jpg","View")</f>
        <v>View</v>
      </c>
      <c r="V23" s="11"/>
      <c r="W23" s="11"/>
      <c r="X23" s="11"/>
      <c r="Y23" s="11"/>
      <c r="Z23" s="11"/>
    </row>
    <row r="24">
      <c r="A24" s="8">
        <v>44222.52484953703</v>
      </c>
      <c r="B24" s="9" t="str">
        <f>HYPERLINK("https://twitter.com/strawberrybxbi","@strawberrybxbi")</f>
        <v>@strawberrybxbi</v>
      </c>
      <c r="C24" s="10" t="s">
        <v>1669</v>
      </c>
      <c r="D24" s="10" t="s">
        <v>1670</v>
      </c>
      <c r="E24" s="9" t="str">
        <f>HYPERLINK("https://twitter.com/strawberrybxbi/status/1354166163480174592","1354166163480174592")</f>
        <v>1354166163480174592</v>
      </c>
      <c r="F24" s="11"/>
      <c r="G24" s="11"/>
      <c r="H24" s="11"/>
      <c r="I24" s="13">
        <v>0.0</v>
      </c>
      <c r="J24" s="13">
        <v>0.0</v>
      </c>
      <c r="K24" s="9" t="str">
        <f t="shared" si="6"/>
        <v>Twitter for Android</v>
      </c>
      <c r="L24" s="14">
        <v>42.0</v>
      </c>
      <c r="M24" s="14">
        <v>66.0</v>
      </c>
      <c r="N24" s="14">
        <v>2.0</v>
      </c>
      <c r="O24" s="15"/>
      <c r="P24" s="16">
        <v>43833.624872685185</v>
      </c>
      <c r="Q24" s="11"/>
      <c r="R24" s="10" t="s">
        <v>1671</v>
      </c>
      <c r="S24" s="11"/>
      <c r="T24" s="11"/>
      <c r="U24" s="17" t="str">
        <f>HYPERLINK("https://pbs.twimg.com/profile_images/1346646227811762176/S_sJSGf3.jpg","View")</f>
        <v>View</v>
      </c>
      <c r="V24" s="11"/>
      <c r="W24" s="11"/>
      <c r="X24" s="11"/>
      <c r="Y24" s="11"/>
      <c r="Z24" s="11"/>
    </row>
    <row r="25">
      <c r="A25" s="8">
        <v>44222.52447916666</v>
      </c>
      <c r="B25" s="9" t="str">
        <f>HYPERLINK("https://twitter.com/WXLDMULLER","@WXLDMULLER")</f>
        <v>@WXLDMULLER</v>
      </c>
      <c r="C25" s="10" t="s">
        <v>1672</v>
      </c>
      <c r="D25" s="10" t="s">
        <v>1673</v>
      </c>
      <c r="E25" s="9" t="str">
        <f>HYPERLINK("https://twitter.com/WXLDMULLER/status/1354166030441074690","1354166030441074690")</f>
        <v>1354166030441074690</v>
      </c>
      <c r="F25" s="10" t="s">
        <v>1674</v>
      </c>
      <c r="G25" s="11"/>
      <c r="H25" s="11"/>
      <c r="I25" s="13">
        <v>0.0</v>
      </c>
      <c r="J25" s="13">
        <v>1.0</v>
      </c>
      <c r="K25" s="9" t="str">
        <f t="shared" si="6"/>
        <v>Twitter for Android</v>
      </c>
      <c r="L25" s="14">
        <v>250.0</v>
      </c>
      <c r="M25" s="14">
        <v>104.0</v>
      </c>
      <c r="N25" s="14">
        <v>2.0</v>
      </c>
      <c r="O25" s="15"/>
      <c r="P25" s="16">
        <v>41886.31453703703</v>
      </c>
      <c r="Q25" s="11"/>
      <c r="R25" s="10" t="s">
        <v>1675</v>
      </c>
      <c r="S25" s="11"/>
      <c r="T25" s="11"/>
      <c r="U25" s="17" t="str">
        <f>HYPERLINK("https://pbs.twimg.com/profile_images/1351846113284927489/9iqMAKog.jpg","View")</f>
        <v>View</v>
      </c>
      <c r="V25" s="11"/>
      <c r="W25" s="11"/>
      <c r="X25" s="11"/>
      <c r="Y25" s="11"/>
      <c r="Z25" s="11"/>
    </row>
    <row r="26">
      <c r="A26" s="8">
        <v>44222.52145833333</v>
      </c>
      <c r="B26" s="9" t="str">
        <f>HYPERLINK("https://twitter.com/_ChrisBestBoy_","@_ChrisBestBoy_")</f>
        <v>@_ChrisBestBoy_</v>
      </c>
      <c r="C26" s="10" t="s">
        <v>1676</v>
      </c>
      <c r="D26" s="10" t="s">
        <v>1677</v>
      </c>
      <c r="E26" s="9" t="str">
        <f>HYPERLINK("https://twitter.com/_ChrisBestBoy_/status/1354164935820009472","1354164935820009472")</f>
        <v>1354164935820009472</v>
      </c>
      <c r="F26" s="11"/>
      <c r="G26" s="11"/>
      <c r="H26" s="11"/>
      <c r="I26" s="13">
        <v>0.0</v>
      </c>
      <c r="J26" s="13">
        <v>0.0</v>
      </c>
      <c r="K26" s="9" t="str">
        <f>HYPERLINK("https://mobile.twitter.com","Twitter Web App")</f>
        <v>Twitter Web App</v>
      </c>
      <c r="L26" s="14">
        <v>121.0</v>
      </c>
      <c r="M26" s="14">
        <v>206.0</v>
      </c>
      <c r="N26" s="14">
        <v>1.0</v>
      </c>
      <c r="O26" s="15"/>
      <c r="P26" s="16">
        <v>44175.86869212963</v>
      </c>
      <c r="Q26" s="10" t="s">
        <v>1678</v>
      </c>
      <c r="R26" s="10" t="s">
        <v>1679</v>
      </c>
      <c r="S26" s="11"/>
      <c r="T26" s="11"/>
      <c r="U26" s="17" t="str">
        <f>HYPERLINK("https://pbs.twimg.com/profile_images/1354163874220679168/qSP8Dsr4.jpg","View")</f>
        <v>View</v>
      </c>
      <c r="V26" s="11"/>
      <c r="W26" s="11"/>
      <c r="X26" s="11"/>
      <c r="Y26" s="11"/>
      <c r="Z26" s="11"/>
    </row>
    <row r="27">
      <c r="A27" s="8">
        <v>44222.519421296296</v>
      </c>
      <c r="B27" s="9" t="str">
        <f>HYPERLINK("https://twitter.com/evagezz","@evagezz")</f>
        <v>@evagezz</v>
      </c>
      <c r="C27" s="10" t="s">
        <v>1680</v>
      </c>
      <c r="D27" s="10" t="s">
        <v>1681</v>
      </c>
      <c r="E27" s="9" t="str">
        <f>HYPERLINK("https://twitter.com/evagezz/status/1354164198180335618","1354164198180335618")</f>
        <v>1354164198180335618</v>
      </c>
      <c r="F27" s="11"/>
      <c r="G27" s="11"/>
      <c r="H27" s="11"/>
      <c r="I27" s="13">
        <v>1.0</v>
      </c>
      <c r="J27" s="13">
        <v>2.0</v>
      </c>
      <c r="K27" s="9" t="str">
        <f t="shared" ref="K27:K28" si="7">HYPERLINK("http://twitter.com/download/android","Twitter for Android")</f>
        <v>Twitter for Android</v>
      </c>
      <c r="L27" s="14">
        <v>1655.0</v>
      </c>
      <c r="M27" s="14">
        <v>266.0</v>
      </c>
      <c r="N27" s="14">
        <v>3.0</v>
      </c>
      <c r="O27" s="15"/>
      <c r="P27" s="16">
        <v>43485.56400462963</v>
      </c>
      <c r="Q27" s="10" t="s">
        <v>1682</v>
      </c>
      <c r="R27" s="10" t="s">
        <v>1683</v>
      </c>
      <c r="S27" s="11"/>
      <c r="T27" s="11"/>
      <c r="U27" s="17" t="str">
        <f>HYPERLINK("https://pbs.twimg.com/profile_images/1353067238220197889/nuVQQsFv.jpg","View")</f>
        <v>View</v>
      </c>
      <c r="V27" s="11"/>
      <c r="W27" s="11"/>
      <c r="X27" s="11"/>
      <c r="Y27" s="11"/>
      <c r="Z27" s="11"/>
    </row>
    <row r="28">
      <c r="A28" s="8">
        <v>44222.51771990741</v>
      </c>
      <c r="B28" s="9" t="str">
        <f>HYPERLINK("https://twitter.com/Remarkj3","@Remarkj3")</f>
        <v>@Remarkj3</v>
      </c>
      <c r="C28" s="10" t="s">
        <v>1684</v>
      </c>
      <c r="D28" s="10" t="s">
        <v>1685</v>
      </c>
      <c r="E28" s="9" t="str">
        <f>HYPERLINK("https://twitter.com/Remarkj3/status/1354163581772836865","1354163581772836865")</f>
        <v>1354163581772836865</v>
      </c>
      <c r="F28" s="12" t="s">
        <v>1686</v>
      </c>
      <c r="G28" s="12" t="s">
        <v>1687</v>
      </c>
      <c r="H28" s="11"/>
      <c r="I28" s="13">
        <v>0.0</v>
      </c>
      <c r="J28" s="13">
        <v>0.0</v>
      </c>
      <c r="K28" s="9" t="str">
        <f t="shared" si="7"/>
        <v>Twitter for Android</v>
      </c>
      <c r="L28" s="14">
        <v>68.0</v>
      </c>
      <c r="M28" s="14">
        <v>672.0</v>
      </c>
      <c r="N28" s="14">
        <v>0.0</v>
      </c>
      <c r="O28" s="15"/>
      <c r="P28" s="16">
        <v>43779.58273148148</v>
      </c>
      <c r="Q28" s="10" t="s">
        <v>1688</v>
      </c>
      <c r="R28" s="10" t="s">
        <v>1689</v>
      </c>
      <c r="S28" s="11"/>
      <c r="T28" s="11"/>
      <c r="U28" s="17" t="str">
        <f>HYPERLINK("https://pbs.twimg.com/profile_images/1348451467762532353/R48ETE_c.jpg","View")</f>
        <v>View</v>
      </c>
      <c r="V28" s="11"/>
      <c r="W28" s="11"/>
      <c r="X28" s="11"/>
      <c r="Y28" s="11"/>
      <c r="Z28" s="11"/>
    </row>
    <row r="29">
      <c r="A29" s="8">
        <v>44222.51515046296</v>
      </c>
      <c r="B29" s="9" t="str">
        <f>HYPERLINK("https://twitter.com/nohemy_arf89","@nohemy_arf89")</f>
        <v>@nohemy_arf89</v>
      </c>
      <c r="C29" s="10" t="s">
        <v>1690</v>
      </c>
      <c r="D29" s="10" t="s">
        <v>1691</v>
      </c>
      <c r="E29" s="9" t="str">
        <f>HYPERLINK("https://twitter.com/nohemy_arf89/status/1354162651660759040","1354162651660759040")</f>
        <v>1354162651660759040</v>
      </c>
      <c r="F29" s="11"/>
      <c r="G29" s="11"/>
      <c r="H29" s="11"/>
      <c r="I29" s="13">
        <v>0.0</v>
      </c>
      <c r="J29" s="13">
        <v>0.0</v>
      </c>
      <c r="K29" s="9" t="str">
        <f>HYPERLINK("https://mobile.twitter.com","Twitter Web App")</f>
        <v>Twitter Web App</v>
      </c>
      <c r="L29" s="14">
        <v>3420.0</v>
      </c>
      <c r="M29" s="14">
        <v>3536.0</v>
      </c>
      <c r="N29" s="14">
        <v>102.0</v>
      </c>
      <c r="O29" s="15"/>
      <c r="P29" s="16">
        <v>41431.53309027778</v>
      </c>
      <c r="Q29" s="10" t="s">
        <v>1692</v>
      </c>
      <c r="R29" s="10" t="s">
        <v>1693</v>
      </c>
      <c r="S29" s="11"/>
      <c r="T29" s="11"/>
      <c r="U29" s="17" t="str">
        <f>HYPERLINK("https://pbs.twimg.com/profile_images/1343427953556934658/hDad1oco.jpg","View")</f>
        <v>View</v>
      </c>
      <c r="V29" s="11"/>
      <c r="W29" s="11"/>
      <c r="X29" s="11"/>
      <c r="Y29" s="11"/>
      <c r="Z29" s="11"/>
    </row>
    <row r="30">
      <c r="A30" s="8">
        <v>44222.5140162037</v>
      </c>
      <c r="B30" s="9" t="str">
        <f>HYPERLINK("https://twitter.com/aangeleess_","@aangeleess_")</f>
        <v>@aangeleess_</v>
      </c>
      <c r="C30" s="10" t="s">
        <v>1694</v>
      </c>
      <c r="D30" s="10" t="s">
        <v>1695</v>
      </c>
      <c r="E30" s="9" t="str">
        <f>HYPERLINK("https://twitter.com/aangeleess_/status/1354162239507488768","1354162239507488768")</f>
        <v>1354162239507488768</v>
      </c>
      <c r="F30" s="11"/>
      <c r="G30" s="11"/>
      <c r="H30" s="11"/>
      <c r="I30" s="13">
        <v>0.0</v>
      </c>
      <c r="J30" s="13">
        <v>0.0</v>
      </c>
      <c r="K30" s="9" t="str">
        <f>HYPERLINK("http://twitter.com/download/iphone","Twitter for iPhone")</f>
        <v>Twitter for iPhone</v>
      </c>
      <c r="L30" s="14">
        <v>28.0</v>
      </c>
      <c r="M30" s="14">
        <v>70.0</v>
      </c>
      <c r="N30" s="14">
        <v>0.0</v>
      </c>
      <c r="O30" s="15"/>
      <c r="P30" s="16">
        <v>44140.4896875</v>
      </c>
      <c r="Q30" s="11"/>
      <c r="R30" s="10" t="s">
        <v>1696</v>
      </c>
      <c r="S30" s="11"/>
      <c r="T30" s="11"/>
      <c r="U30" s="17" t="str">
        <f>HYPERLINK("https://pbs.twimg.com/profile_images/1350913187353407489/2DSnmNWu.jpg","View")</f>
        <v>View</v>
      </c>
      <c r="V30" s="11"/>
      <c r="W30" s="11"/>
      <c r="X30" s="11"/>
      <c r="Y30" s="11"/>
      <c r="Z30" s="11"/>
    </row>
    <row r="31">
      <c r="A31" s="8">
        <v>44222.51372685185</v>
      </c>
      <c r="B31" s="9" t="str">
        <f>HYPERLINK("https://twitter.com/baby_sweetMochi","@baby_sweetMochi")</f>
        <v>@baby_sweetMochi</v>
      </c>
      <c r="C31" s="10" t="s">
        <v>1697</v>
      </c>
      <c r="D31" s="10" t="s">
        <v>1698</v>
      </c>
      <c r="E31" s="9" t="str">
        <f>HYPERLINK("https://twitter.com/baby_sweetMochi/status/1354162133991354369","1354162133991354369")</f>
        <v>1354162133991354369</v>
      </c>
      <c r="F31" s="12" t="s">
        <v>1699</v>
      </c>
      <c r="G31" s="11"/>
      <c r="H31" s="11"/>
      <c r="I31" s="13">
        <v>0.0</v>
      </c>
      <c r="J31" s="13">
        <v>2.0</v>
      </c>
      <c r="K31" s="9" t="str">
        <f t="shared" ref="K31:K32" si="8">HYPERLINK("http://twitter.com/download/android","Twitter for Android")</f>
        <v>Twitter for Android</v>
      </c>
      <c r="L31" s="14">
        <v>4786.0</v>
      </c>
      <c r="M31" s="14">
        <v>610.0</v>
      </c>
      <c r="N31" s="14">
        <v>24.0</v>
      </c>
      <c r="O31" s="15"/>
      <c r="P31" s="16">
        <v>41885.12746527778</v>
      </c>
      <c r="Q31" s="11"/>
      <c r="R31" s="10" t="s">
        <v>1700</v>
      </c>
      <c r="S31" s="12" t="s">
        <v>1701</v>
      </c>
      <c r="T31" s="11"/>
      <c r="U31" s="17" t="str">
        <f>HYPERLINK("https://pbs.twimg.com/profile_images/1354098753968496641/2-oNhPpu.jpg","View")</f>
        <v>View</v>
      </c>
      <c r="V31" s="11"/>
      <c r="W31" s="11"/>
      <c r="X31" s="11"/>
      <c r="Y31" s="11"/>
      <c r="Z31" s="11"/>
    </row>
    <row r="32">
      <c r="A32" s="8">
        <v>44222.51189814815</v>
      </c>
      <c r="B32" s="9" t="str">
        <f>HYPERLINK("https://twitter.com/sailordiamond_","@sailordiamond_")</f>
        <v>@sailordiamond_</v>
      </c>
      <c r="C32" s="10" t="s">
        <v>1702</v>
      </c>
      <c r="D32" s="10" t="s">
        <v>1703</v>
      </c>
      <c r="E32" s="9" t="str">
        <f>HYPERLINK("https://twitter.com/sailordiamond_/status/1354161472352497664","1354161472352497664")</f>
        <v>1354161472352497664</v>
      </c>
      <c r="F32" s="10" t="s">
        <v>1704</v>
      </c>
      <c r="G32" s="11"/>
      <c r="H32" s="11"/>
      <c r="I32" s="13">
        <v>0.0</v>
      </c>
      <c r="J32" s="13">
        <v>0.0</v>
      </c>
      <c r="K32" s="9" t="str">
        <f t="shared" si="8"/>
        <v>Twitter for Android</v>
      </c>
      <c r="L32" s="14">
        <v>76.0</v>
      </c>
      <c r="M32" s="14">
        <v>203.0</v>
      </c>
      <c r="N32" s="14">
        <v>1.0</v>
      </c>
      <c r="O32" s="15"/>
      <c r="P32" s="16">
        <v>43739.84123842593</v>
      </c>
      <c r="Q32" s="10" t="s">
        <v>1705</v>
      </c>
      <c r="R32" s="10" t="s">
        <v>1706</v>
      </c>
      <c r="S32" s="12" t="s">
        <v>1707</v>
      </c>
      <c r="T32" s="11"/>
      <c r="U32" s="17" t="str">
        <f>HYPERLINK("https://pbs.twimg.com/profile_images/1351335838840401922/uYvJhWCV.jpg","View")</f>
        <v>View</v>
      </c>
      <c r="V32" s="11"/>
      <c r="W32" s="11"/>
      <c r="X32" s="11"/>
      <c r="Y32" s="11"/>
      <c r="Z32" s="11"/>
    </row>
    <row r="33">
      <c r="A33" s="8">
        <v>44222.5087962963</v>
      </c>
      <c r="B33" s="9" t="str">
        <f>HYPERLINK("https://twitter.com/laurazzalez","@laurazzalez")</f>
        <v>@laurazzalez</v>
      </c>
      <c r="C33" s="10" t="s">
        <v>1708</v>
      </c>
      <c r="D33" s="10" t="s">
        <v>1709</v>
      </c>
      <c r="E33" s="9" t="str">
        <f>HYPERLINK("https://twitter.com/laurazzalez/status/1354160348073439241","1354160348073439241")</f>
        <v>1354160348073439241</v>
      </c>
      <c r="F33" s="11"/>
      <c r="G33" s="11"/>
      <c r="H33" s="11"/>
      <c r="I33" s="13">
        <v>4.0</v>
      </c>
      <c r="J33" s="13">
        <v>3.0</v>
      </c>
      <c r="K33" s="9" t="str">
        <f>HYPERLINK("http://twitter.com/download/iphone","Twitter for iPhone")</f>
        <v>Twitter for iPhone</v>
      </c>
      <c r="L33" s="14">
        <v>18355.0</v>
      </c>
      <c r="M33" s="14">
        <v>344.0</v>
      </c>
      <c r="N33" s="14">
        <v>124.0</v>
      </c>
      <c r="O33" s="15"/>
      <c r="P33" s="16">
        <v>41846.41510416666</v>
      </c>
      <c r="Q33" s="10" t="s">
        <v>1710</v>
      </c>
      <c r="R33" s="10" t="s">
        <v>1711</v>
      </c>
      <c r="S33" s="12" t="s">
        <v>1712</v>
      </c>
      <c r="T33" s="11"/>
      <c r="U33" s="17" t="str">
        <f>HYPERLINK("https://pbs.twimg.com/profile_images/1346254255242551302/v_VfoElk.jpg","View")</f>
        <v>View</v>
      </c>
      <c r="V33" s="11"/>
      <c r="W33" s="11"/>
      <c r="X33" s="11"/>
      <c r="Y33" s="11"/>
      <c r="Z33" s="11"/>
    </row>
    <row r="34">
      <c r="A34" s="8">
        <v>44222.506689814814</v>
      </c>
      <c r="B34" s="9" t="str">
        <f>HYPERLINK("https://twitter.com/JLagunita","@JLagunita")</f>
        <v>@JLagunita</v>
      </c>
      <c r="C34" s="10" t="s">
        <v>1713</v>
      </c>
      <c r="D34" s="10" t="s">
        <v>1714</v>
      </c>
      <c r="E34" s="9" t="str">
        <f>HYPERLINK("https://twitter.com/JLagunita/status/1354159581920964609","1354159581920964609")</f>
        <v>1354159581920964609</v>
      </c>
      <c r="F34" s="11"/>
      <c r="G34" s="11"/>
      <c r="H34" s="11"/>
      <c r="I34" s="13">
        <v>0.0</v>
      </c>
      <c r="J34" s="13">
        <v>2.0</v>
      </c>
      <c r="K34" s="9" t="str">
        <f t="shared" ref="K34:K35" si="9">HYPERLINK("https://mobile.twitter.com","Twitter Web App")</f>
        <v>Twitter Web App</v>
      </c>
      <c r="L34" s="14">
        <v>357.0</v>
      </c>
      <c r="M34" s="14">
        <v>416.0</v>
      </c>
      <c r="N34" s="14">
        <v>1.0</v>
      </c>
      <c r="O34" s="15"/>
      <c r="P34" s="16">
        <v>41132.23920138889</v>
      </c>
      <c r="Q34" s="10" t="s">
        <v>1715</v>
      </c>
      <c r="R34" s="10" t="s">
        <v>1716</v>
      </c>
      <c r="S34" s="11"/>
      <c r="T34" s="11"/>
      <c r="U34" s="17" t="str">
        <f>HYPERLINK("https://pbs.twimg.com/profile_images/897874574095855616/pbnDnO-n.jpg","View")</f>
        <v>View</v>
      </c>
      <c r="V34" s="11"/>
      <c r="W34" s="11"/>
      <c r="X34" s="11"/>
      <c r="Y34" s="11"/>
      <c r="Z34" s="11"/>
    </row>
    <row r="35">
      <c r="A35" s="8">
        <v>44222.505000000005</v>
      </c>
      <c r="B35" s="9" t="str">
        <f>HYPERLINK("https://twitter.com/OtraSoffia","@OtraSoffia")</f>
        <v>@OtraSoffia</v>
      </c>
      <c r="C35" s="10" t="s">
        <v>1717</v>
      </c>
      <c r="D35" s="10" t="s">
        <v>1718</v>
      </c>
      <c r="E35" s="9" t="str">
        <f>HYPERLINK("https://twitter.com/OtraSoffia/status/1354158971624550400","1354158971624550400")</f>
        <v>1354158971624550400</v>
      </c>
      <c r="F35" s="11"/>
      <c r="G35" s="11"/>
      <c r="H35" s="11"/>
      <c r="I35" s="13">
        <v>0.0</v>
      </c>
      <c r="J35" s="13">
        <v>1.0</v>
      </c>
      <c r="K35" s="9" t="str">
        <f t="shared" si="9"/>
        <v>Twitter Web App</v>
      </c>
      <c r="L35" s="14">
        <v>310.0</v>
      </c>
      <c r="M35" s="14">
        <v>242.0</v>
      </c>
      <c r="N35" s="14">
        <v>0.0</v>
      </c>
      <c r="O35" s="15"/>
      <c r="P35" s="16">
        <v>40076.74431712963</v>
      </c>
      <c r="Q35" s="11"/>
      <c r="R35" s="10" t="s">
        <v>1719</v>
      </c>
      <c r="S35" s="12" t="s">
        <v>1720</v>
      </c>
      <c r="T35" s="11"/>
      <c r="U35" s="17" t="str">
        <f>HYPERLINK("https://pbs.twimg.com/profile_images/1352694997896708096/I-lZh9EJ.jpg","View")</f>
        <v>View</v>
      </c>
      <c r="V35" s="11"/>
      <c r="W35" s="11"/>
      <c r="X35" s="11"/>
      <c r="Y35" s="11"/>
      <c r="Z35" s="11"/>
    </row>
    <row r="36">
      <c r="A36" s="8">
        <v>44222.50430555556</v>
      </c>
      <c r="B36" s="9" t="str">
        <f>HYPERLINK("https://twitter.com/Eaguty1","@Eaguty1")</f>
        <v>@Eaguty1</v>
      </c>
      <c r="C36" s="10" t="s">
        <v>1721</v>
      </c>
      <c r="D36" s="10" t="s">
        <v>1722</v>
      </c>
      <c r="E36" s="9" t="str">
        <f>HYPERLINK("https://twitter.com/Eaguty1/status/1354158721455321088","1354158721455321088")</f>
        <v>1354158721455321088</v>
      </c>
      <c r="F36" s="12" t="s">
        <v>1723</v>
      </c>
      <c r="G36" s="11"/>
      <c r="H36" s="11"/>
      <c r="I36" s="13">
        <v>0.0</v>
      </c>
      <c r="J36" s="13">
        <v>1.0</v>
      </c>
      <c r="K36" s="9" t="str">
        <f>HYPERLINK("http://twitter.com/download/iphone","Twitter for iPhone")</f>
        <v>Twitter for iPhone</v>
      </c>
      <c r="L36" s="14">
        <v>988.0</v>
      </c>
      <c r="M36" s="14">
        <v>1019.0</v>
      </c>
      <c r="N36" s="14">
        <v>0.0</v>
      </c>
      <c r="O36" s="15"/>
      <c r="P36" s="16">
        <v>40977.37396990741</v>
      </c>
      <c r="Q36" s="10" t="s">
        <v>959</v>
      </c>
      <c r="R36" s="10" t="s">
        <v>1724</v>
      </c>
      <c r="S36" s="11"/>
      <c r="T36" s="11"/>
      <c r="U36" s="17" t="str">
        <f>HYPERLINK("https://pbs.twimg.com/profile_images/1086426661242003456/On0EI30h.jpg","View")</f>
        <v>View</v>
      </c>
      <c r="V36" s="11"/>
      <c r="W36" s="11"/>
      <c r="X36" s="11"/>
      <c r="Y36" s="11"/>
      <c r="Z36" s="11"/>
    </row>
    <row r="37">
      <c r="A37" s="8">
        <v>44222.50282407408</v>
      </c>
      <c r="B37" s="9" t="str">
        <f>HYPERLINK("https://twitter.com/emeliiiii1","@emeliiiii1")</f>
        <v>@emeliiiii1</v>
      </c>
      <c r="C37" s="10" t="s">
        <v>1725</v>
      </c>
      <c r="D37" s="10" t="s">
        <v>1726</v>
      </c>
      <c r="E37" s="9" t="str">
        <f>HYPERLINK("https://twitter.com/emeliiiii1/status/1354158180964704259","1354158180964704259")</f>
        <v>1354158180964704259</v>
      </c>
      <c r="F37" s="11"/>
      <c r="G37" s="11"/>
      <c r="H37" s="11"/>
      <c r="I37" s="13">
        <v>0.0</v>
      </c>
      <c r="J37" s="13">
        <v>0.0</v>
      </c>
      <c r="K37" s="9" t="str">
        <f t="shared" ref="K37:K38" si="10">HYPERLINK("http://twitter.com/download/android","Twitter for Android")</f>
        <v>Twitter for Android</v>
      </c>
      <c r="L37" s="14">
        <v>344.0</v>
      </c>
      <c r="M37" s="14">
        <v>226.0</v>
      </c>
      <c r="N37" s="14">
        <v>0.0</v>
      </c>
      <c r="O37" s="15"/>
      <c r="P37" s="16">
        <v>43598.69122685185</v>
      </c>
      <c r="Q37" s="10" t="s">
        <v>1727</v>
      </c>
      <c r="R37" s="10" t="s">
        <v>1728</v>
      </c>
      <c r="S37" s="11"/>
      <c r="T37" s="11"/>
      <c r="U37" s="17" t="str">
        <f>HYPERLINK("https://pbs.twimg.com/profile_images/1349588186763317249/N6ZPn6Fx.jpg","View")</f>
        <v>View</v>
      </c>
      <c r="V37" s="11"/>
      <c r="W37" s="11"/>
      <c r="X37" s="11"/>
      <c r="Y37" s="11"/>
      <c r="Z37" s="11"/>
    </row>
    <row r="38">
      <c r="A38" s="8">
        <v>44222.50175925926</v>
      </c>
      <c r="B38" s="9" t="str">
        <f>HYPERLINK("https://twitter.com/donald__pls","@donald__pls")</f>
        <v>@donald__pls</v>
      </c>
      <c r="C38" s="10" t="s">
        <v>1729</v>
      </c>
      <c r="D38" s="10" t="s">
        <v>1730</v>
      </c>
      <c r="E38" s="9" t="str">
        <f>HYPERLINK("https://twitter.com/donald__pls/status/1354157795046793226","1354157795046793226")</f>
        <v>1354157795046793226</v>
      </c>
      <c r="F38" s="11"/>
      <c r="G38" s="11"/>
      <c r="H38" s="11"/>
      <c r="I38" s="13">
        <v>0.0</v>
      </c>
      <c r="J38" s="13">
        <v>1.0</v>
      </c>
      <c r="K38" s="9" t="str">
        <f t="shared" si="10"/>
        <v>Twitter for Android</v>
      </c>
      <c r="L38" s="14">
        <v>512.0</v>
      </c>
      <c r="M38" s="14">
        <v>620.0</v>
      </c>
      <c r="N38" s="14">
        <v>9.0</v>
      </c>
      <c r="O38" s="15"/>
      <c r="P38" s="16">
        <v>40723.38348379629</v>
      </c>
      <c r="Q38" s="10" t="s">
        <v>1731</v>
      </c>
      <c r="R38" s="11"/>
      <c r="S38" s="11"/>
      <c r="T38" s="11"/>
      <c r="U38" s="17" t="str">
        <f>HYPERLINK("https://pbs.twimg.com/profile_images/1136240853842845697/kaG2u03l.jpg","View")</f>
        <v>View</v>
      </c>
      <c r="V38" s="11"/>
      <c r="W38" s="11"/>
      <c r="X38" s="11"/>
      <c r="Y38" s="11"/>
      <c r="Z38" s="11"/>
    </row>
    <row r="39">
      <c r="A39" s="8">
        <v>44222.500659722224</v>
      </c>
      <c r="B39" s="9" t="str">
        <f>HYPERLINK("https://twitter.com/viki_regonat","@viki_regonat")</f>
        <v>@viki_regonat</v>
      </c>
      <c r="C39" s="10" t="s">
        <v>1732</v>
      </c>
      <c r="D39" s="10" t="s">
        <v>1733</v>
      </c>
      <c r="E39" s="9" t="str">
        <f>HYPERLINK("https://twitter.com/viki_regonat/status/1354157397460328448","1354157397460328448")</f>
        <v>1354157397460328448</v>
      </c>
      <c r="F39" s="11"/>
      <c r="G39" s="11"/>
      <c r="H39" s="11"/>
      <c r="I39" s="13">
        <v>0.0</v>
      </c>
      <c r="J39" s="13">
        <v>0.0</v>
      </c>
      <c r="K39" s="9" t="str">
        <f>HYPERLINK("http://twitter.com/download/iphone","Twitter for iPhone")</f>
        <v>Twitter for iPhone</v>
      </c>
      <c r="L39" s="14">
        <v>864.0</v>
      </c>
      <c r="M39" s="14">
        <v>563.0</v>
      </c>
      <c r="N39" s="14">
        <v>1.0</v>
      </c>
      <c r="O39" s="15"/>
      <c r="P39" s="16">
        <v>42587.40673611111</v>
      </c>
      <c r="Q39" s="11"/>
      <c r="R39" s="10" t="s">
        <v>1734</v>
      </c>
      <c r="S39" s="11"/>
      <c r="T39" s="11"/>
      <c r="U39" s="17" t="str">
        <f>HYPERLINK("https://pbs.twimg.com/profile_images/1353947243200577538/RcUY-pfT.jpg","View")</f>
        <v>View</v>
      </c>
      <c r="V39" s="11"/>
      <c r="W39" s="11"/>
      <c r="X39" s="11"/>
      <c r="Y39" s="11"/>
      <c r="Z39" s="11"/>
    </row>
    <row r="40">
      <c r="A40" s="8">
        <v>44222.500069444446</v>
      </c>
      <c r="B40" s="9" t="str">
        <f>HYPERLINK("https://twitter.com/archersdeath","@archersdeath")</f>
        <v>@archersdeath</v>
      </c>
      <c r="C40" s="10" t="s">
        <v>1735</v>
      </c>
      <c r="D40" s="10" t="s">
        <v>1736</v>
      </c>
      <c r="E40" s="9" t="str">
        <f>HYPERLINK("https://twitter.com/archersdeath/status/1354157184934948870","1354157184934948870")</f>
        <v>1354157184934948870</v>
      </c>
      <c r="F40" s="11"/>
      <c r="G40" s="11"/>
      <c r="H40" s="11"/>
      <c r="I40" s="13">
        <v>0.0</v>
      </c>
      <c r="J40" s="13">
        <v>2.0</v>
      </c>
      <c r="K40" s="9" t="str">
        <f t="shared" ref="K40:K41" si="11">HYPERLINK("http://twitter.com/download/android","Twitter for Android")</f>
        <v>Twitter for Android</v>
      </c>
      <c r="L40" s="14">
        <v>2023.0</v>
      </c>
      <c r="M40" s="14">
        <v>778.0</v>
      </c>
      <c r="N40" s="14">
        <v>55.0</v>
      </c>
      <c r="O40" s="15"/>
      <c r="P40" s="16">
        <v>41392.58719907407</v>
      </c>
      <c r="Q40" s="11"/>
      <c r="R40" s="10" t="s">
        <v>1737</v>
      </c>
      <c r="S40" s="12" t="s">
        <v>1738</v>
      </c>
      <c r="T40" s="11"/>
      <c r="U40" s="17" t="str">
        <f>HYPERLINK("https://pbs.twimg.com/profile_images/1353403751554539521/NX7bCoEn.jpg","View")</f>
        <v>View</v>
      </c>
      <c r="V40" s="11"/>
      <c r="W40" s="11"/>
      <c r="X40" s="11"/>
      <c r="Y40" s="11"/>
      <c r="Z40" s="11"/>
    </row>
    <row r="41">
      <c r="A41" s="8">
        <v>44222.495717592596</v>
      </c>
      <c r="B41" s="9" t="str">
        <f>HYPERLINK("https://twitter.com/BALEJANDROS1","@BALEJANDROS1")</f>
        <v>@BALEJANDROS1</v>
      </c>
      <c r="C41" s="10" t="s">
        <v>1739</v>
      </c>
      <c r="D41" s="10" t="s">
        <v>1740</v>
      </c>
      <c r="E41" s="9" t="str">
        <f>HYPERLINK("https://twitter.com/BALEJANDROS1/status/1354155605926133760","1354155605926133760")</f>
        <v>1354155605926133760</v>
      </c>
      <c r="F41" s="11"/>
      <c r="G41" s="11"/>
      <c r="H41" s="11"/>
      <c r="I41" s="13">
        <v>0.0</v>
      </c>
      <c r="J41" s="13">
        <v>0.0</v>
      </c>
      <c r="K41" s="9" t="str">
        <f t="shared" si="11"/>
        <v>Twitter for Android</v>
      </c>
      <c r="L41" s="14">
        <v>1.0</v>
      </c>
      <c r="M41" s="14">
        <v>79.0</v>
      </c>
      <c r="N41" s="14">
        <v>1.0</v>
      </c>
      <c r="O41" s="15"/>
      <c r="P41" s="16">
        <v>43881.59186342593</v>
      </c>
      <c r="Q41" s="11"/>
      <c r="R41" s="10" t="s">
        <v>1741</v>
      </c>
      <c r="S41" s="11"/>
      <c r="T41" s="11"/>
      <c r="U41" s="17" t="str">
        <f>HYPERLINK("https://pbs.twimg.com/profile_images/1230616296108122112/IOKMon02.jpg","View")</f>
        <v>View</v>
      </c>
      <c r="V41" s="11"/>
      <c r="W41" s="11"/>
      <c r="X41" s="11"/>
      <c r="Y41" s="11"/>
      <c r="Z41" s="11"/>
    </row>
    <row r="42">
      <c r="A42" s="8">
        <v>44222.49555555556</v>
      </c>
      <c r="B42" s="9" t="str">
        <f>HYPERLINK("https://twitter.com/CamiBlutce","@CamiBlutce")</f>
        <v>@CamiBlutce</v>
      </c>
      <c r="C42" s="10" t="s">
        <v>1742</v>
      </c>
      <c r="D42" s="10" t="s">
        <v>1743</v>
      </c>
      <c r="E42" s="9" t="str">
        <f>HYPERLINK("https://twitter.com/CamiBlutce/status/1354155547663228929","1354155547663228929")</f>
        <v>1354155547663228929</v>
      </c>
      <c r="F42" s="11"/>
      <c r="G42" s="11"/>
      <c r="H42" s="11"/>
      <c r="I42" s="13">
        <v>0.0</v>
      </c>
      <c r="J42" s="13">
        <v>1.0</v>
      </c>
      <c r="K42" s="9" t="str">
        <f>HYPERLINK("https://mobile.twitter.com","Twitter Web App")</f>
        <v>Twitter Web App</v>
      </c>
      <c r="L42" s="14">
        <v>85.0</v>
      </c>
      <c r="M42" s="14">
        <v>121.0</v>
      </c>
      <c r="N42" s="14">
        <v>0.0</v>
      </c>
      <c r="O42" s="15"/>
      <c r="P42" s="16">
        <v>43123.71769675926</v>
      </c>
      <c r="Q42" s="11"/>
      <c r="R42" s="10" t="s">
        <v>1744</v>
      </c>
      <c r="S42" s="11"/>
      <c r="T42" s="11"/>
      <c r="U42" s="17" t="str">
        <f>HYPERLINK("https://pbs.twimg.com/profile_images/956044910859309056/qCg9f1Yg.jpg","View")</f>
        <v>View</v>
      </c>
      <c r="V42" s="11"/>
      <c r="W42" s="11"/>
      <c r="X42" s="11"/>
      <c r="Y42" s="11"/>
      <c r="Z42" s="11"/>
    </row>
    <row r="43">
      <c r="A43" s="8">
        <v>44222.49466435185</v>
      </c>
      <c r="B43" s="9" t="str">
        <f>HYPERLINK("https://twitter.com/0Orts","@0Orts")</f>
        <v>@0Orts</v>
      </c>
      <c r="C43" s="10" t="s">
        <v>1745</v>
      </c>
      <c r="D43" s="10" t="s">
        <v>1746</v>
      </c>
      <c r="E43" s="9" t="str">
        <f>HYPERLINK("https://twitter.com/0Orts/status/1354155225184165893","1354155225184165893")</f>
        <v>1354155225184165893</v>
      </c>
      <c r="F43" s="12" t="s">
        <v>1747</v>
      </c>
      <c r="G43" s="11"/>
      <c r="H43" s="11"/>
      <c r="I43" s="13">
        <v>0.0</v>
      </c>
      <c r="J43" s="13">
        <v>1.0</v>
      </c>
      <c r="K43" s="9" t="str">
        <f t="shared" ref="K43:K46" si="12">HYPERLINK("http://twitter.com/download/android","Twitter for Android")</f>
        <v>Twitter for Android</v>
      </c>
      <c r="L43" s="14">
        <v>151.0</v>
      </c>
      <c r="M43" s="14">
        <v>262.0</v>
      </c>
      <c r="N43" s="14">
        <v>0.0</v>
      </c>
      <c r="O43" s="15"/>
      <c r="P43" s="16">
        <v>43978.360821759255</v>
      </c>
      <c r="Q43" s="11"/>
      <c r="R43" s="11"/>
      <c r="S43" s="11"/>
      <c r="T43" s="11"/>
      <c r="U43" s="17" t="str">
        <f>HYPERLINK("https://pbs.twimg.com/profile_images/1265669106193367040/J2jnx9Uy.jpg","View")</f>
        <v>View</v>
      </c>
      <c r="V43" s="11"/>
      <c r="W43" s="11"/>
      <c r="X43" s="11"/>
      <c r="Y43" s="11"/>
      <c r="Z43" s="11"/>
    </row>
    <row r="44">
      <c r="A44" s="8">
        <v>44222.49380787037</v>
      </c>
      <c r="B44" s="9" t="str">
        <f>HYPERLINK("https://twitter.com/TiseraJulii","@TiseraJulii")</f>
        <v>@TiseraJulii</v>
      </c>
      <c r="C44" s="10" t="s">
        <v>1748</v>
      </c>
      <c r="D44" s="10" t="s">
        <v>1749</v>
      </c>
      <c r="E44" s="9" t="str">
        <f>HYPERLINK("https://twitter.com/TiseraJulii/status/1354154913916477442","1354154913916477442")</f>
        <v>1354154913916477442</v>
      </c>
      <c r="F44" s="11"/>
      <c r="G44" s="11"/>
      <c r="H44" s="11"/>
      <c r="I44" s="13">
        <v>0.0</v>
      </c>
      <c r="J44" s="13">
        <v>0.0</v>
      </c>
      <c r="K44" s="9" t="str">
        <f t="shared" si="12"/>
        <v>Twitter for Android</v>
      </c>
      <c r="L44" s="14">
        <v>154.0</v>
      </c>
      <c r="M44" s="14">
        <v>192.0</v>
      </c>
      <c r="N44" s="14">
        <v>1.0</v>
      </c>
      <c r="O44" s="15"/>
      <c r="P44" s="16">
        <v>44168.44428240741</v>
      </c>
      <c r="Q44" s="11"/>
      <c r="R44" s="10" t="s">
        <v>1750</v>
      </c>
      <c r="S44" s="11"/>
      <c r="T44" s="11"/>
      <c r="U44" s="17" t="str">
        <f>HYPERLINK("https://pbs.twimg.com/profile_images/1349666418074247168/Dm7LUrs_.jpg","View")</f>
        <v>View</v>
      </c>
      <c r="V44" s="11"/>
      <c r="W44" s="11"/>
      <c r="X44" s="11"/>
      <c r="Y44" s="11"/>
      <c r="Z44" s="11"/>
    </row>
    <row r="45">
      <c r="A45" s="8">
        <v>44222.49265046296</v>
      </c>
      <c r="B45" s="9" t="str">
        <f>HYPERLINK("https://twitter.com/entrcpydisorder","@entrcpydisorder")</f>
        <v>@entrcpydisorder</v>
      </c>
      <c r="C45" s="10" t="s">
        <v>1751</v>
      </c>
      <c r="D45" s="10" t="s">
        <v>1752</v>
      </c>
      <c r="E45" s="9" t="str">
        <f>HYPERLINK("https://twitter.com/entrcpydisorder/status/1354154497686310914","1354154497686310914")</f>
        <v>1354154497686310914</v>
      </c>
      <c r="F45" s="10" t="s">
        <v>1753</v>
      </c>
      <c r="G45" s="11"/>
      <c r="H45" s="11"/>
      <c r="I45" s="13">
        <v>0.0</v>
      </c>
      <c r="J45" s="13">
        <v>0.0</v>
      </c>
      <c r="K45" s="9" t="str">
        <f t="shared" si="12"/>
        <v>Twitter for Android</v>
      </c>
      <c r="L45" s="14">
        <v>421.0</v>
      </c>
      <c r="M45" s="14">
        <v>381.0</v>
      </c>
      <c r="N45" s="14">
        <v>6.0</v>
      </c>
      <c r="O45" s="15"/>
      <c r="P45" s="16">
        <v>42560.722916666666</v>
      </c>
      <c r="Q45" s="10" t="s">
        <v>1754</v>
      </c>
      <c r="R45" s="10" t="s">
        <v>1755</v>
      </c>
      <c r="S45" s="11"/>
      <c r="T45" s="11"/>
      <c r="U45" s="17" t="str">
        <f>HYPERLINK("https://pbs.twimg.com/profile_images/1352820903386755073/L_GP0LZD.jpg","View")</f>
        <v>View</v>
      </c>
      <c r="V45" s="11"/>
      <c r="W45" s="11"/>
      <c r="X45" s="11"/>
      <c r="Y45" s="11"/>
      <c r="Z45" s="11"/>
    </row>
    <row r="46">
      <c r="A46" s="8">
        <v>44222.48673611111</v>
      </c>
      <c r="B46" s="9" t="str">
        <f>HYPERLINK("https://twitter.com/foxyeoI","@foxyeoI")</f>
        <v>@foxyeoI</v>
      </c>
      <c r="C46" s="10" t="s">
        <v>1756</v>
      </c>
      <c r="D46" s="10" t="s">
        <v>1757</v>
      </c>
      <c r="E46" s="9" t="str">
        <f>HYPERLINK("https://twitter.com/foxyeoI/status/1354152352446603264","1354152352446603264")</f>
        <v>1354152352446603264</v>
      </c>
      <c r="F46" s="11"/>
      <c r="G46" s="11"/>
      <c r="H46" s="11"/>
      <c r="I46" s="13">
        <v>0.0</v>
      </c>
      <c r="J46" s="13">
        <v>2.0</v>
      </c>
      <c r="K46" s="9" t="str">
        <f t="shared" si="12"/>
        <v>Twitter for Android</v>
      </c>
      <c r="L46" s="14">
        <v>456.0</v>
      </c>
      <c r="M46" s="14">
        <v>347.0</v>
      </c>
      <c r="N46" s="14">
        <v>20.0</v>
      </c>
      <c r="O46" s="15"/>
      <c r="P46" s="16">
        <v>43171.59622685185</v>
      </c>
      <c r="Q46" s="10" t="s">
        <v>1758</v>
      </c>
      <c r="R46" s="10" t="s">
        <v>1759</v>
      </c>
      <c r="S46" s="12" t="s">
        <v>1760</v>
      </c>
      <c r="T46" s="11"/>
      <c r="U46" s="17" t="str">
        <f>HYPERLINK("https://pbs.twimg.com/profile_images/1350907423998009347/1pwX5JDi.jpg","View")</f>
        <v>View</v>
      </c>
      <c r="V46" s="11"/>
      <c r="W46" s="11"/>
      <c r="X46" s="11"/>
      <c r="Y46" s="11"/>
      <c r="Z46" s="11"/>
    </row>
    <row r="47">
      <c r="A47" s="8">
        <v>44222.48553240741</v>
      </c>
      <c r="B47" s="9" t="str">
        <f>HYPERLINK("https://twitter.com/Patrimarchena","@Patrimarchena")</f>
        <v>@Patrimarchena</v>
      </c>
      <c r="C47" s="10" t="s">
        <v>1761</v>
      </c>
      <c r="D47" s="10" t="s">
        <v>1762</v>
      </c>
      <c r="E47" s="9" t="str">
        <f>HYPERLINK("https://twitter.com/Patrimarchena/status/1354151915484049410","1354151915484049410")</f>
        <v>1354151915484049410</v>
      </c>
      <c r="F47" s="11"/>
      <c r="G47" s="11"/>
      <c r="H47" s="11"/>
      <c r="I47" s="13">
        <v>0.0</v>
      </c>
      <c r="J47" s="13">
        <v>1.0</v>
      </c>
      <c r="K47" s="9" t="str">
        <f>HYPERLINK("http://twitter.com/download/iphone","Twitter for iPhone")</f>
        <v>Twitter for iPhone</v>
      </c>
      <c r="L47" s="14">
        <v>477.0</v>
      </c>
      <c r="M47" s="14">
        <v>177.0</v>
      </c>
      <c r="N47" s="14">
        <v>0.0</v>
      </c>
      <c r="O47" s="15"/>
      <c r="P47" s="16">
        <v>40718.28202546296</v>
      </c>
      <c r="Q47" s="10" t="s">
        <v>1763</v>
      </c>
      <c r="R47" s="10" t="s">
        <v>1764</v>
      </c>
      <c r="S47" s="12" t="s">
        <v>1765</v>
      </c>
      <c r="T47" s="11"/>
      <c r="U47" s="17" t="str">
        <f>HYPERLINK("https://pbs.twimg.com/profile_images/1341371740824498178/KyH7ax4I.jpg","View")</f>
        <v>View</v>
      </c>
      <c r="V47" s="11"/>
      <c r="W47" s="11"/>
      <c r="X47" s="11"/>
      <c r="Y47" s="11"/>
      <c r="Z47" s="11"/>
    </row>
    <row r="48">
      <c r="A48" s="8">
        <v>44222.48438657407</v>
      </c>
      <c r="B48" s="9" t="str">
        <f>HYPERLINK("https://twitter.com/MorenaBogao","@MorenaBogao")</f>
        <v>@MorenaBogao</v>
      </c>
      <c r="C48" s="10" t="s">
        <v>1766</v>
      </c>
      <c r="D48" s="10" t="s">
        <v>1767</v>
      </c>
      <c r="E48" s="9" t="str">
        <f>HYPERLINK("https://twitter.com/MorenaBogao/status/1354151500893794306","1354151500893794306")</f>
        <v>1354151500893794306</v>
      </c>
      <c r="F48" s="11"/>
      <c r="G48" s="11"/>
      <c r="H48" s="11"/>
      <c r="I48" s="13">
        <v>1.0</v>
      </c>
      <c r="J48" s="13">
        <v>1.0</v>
      </c>
      <c r="K48" s="9" t="str">
        <f>HYPERLINK("http://twitter.com/download/android","Twitter for Android")</f>
        <v>Twitter for Android</v>
      </c>
      <c r="L48" s="14">
        <v>233.0</v>
      </c>
      <c r="M48" s="14">
        <v>212.0</v>
      </c>
      <c r="N48" s="14">
        <v>0.0</v>
      </c>
      <c r="O48" s="15"/>
      <c r="P48" s="16">
        <v>43734.47005787037</v>
      </c>
      <c r="Q48" s="10" t="s">
        <v>1768</v>
      </c>
      <c r="R48" s="10">
        <v>17.0</v>
      </c>
      <c r="S48" s="11"/>
      <c r="T48" s="11"/>
      <c r="U48" s="17" t="str">
        <f>HYPERLINK("https://pbs.twimg.com/profile_images/1339345225198821382/Kvb70F2E.jpg","View")</f>
        <v>View</v>
      </c>
      <c r="V48" s="11"/>
      <c r="W48" s="11"/>
      <c r="X48" s="11"/>
      <c r="Y48" s="11"/>
      <c r="Z48" s="11"/>
    </row>
    <row r="49">
      <c r="A49" s="8">
        <v>44222.479525462964</v>
      </c>
      <c r="B49" s="9" t="str">
        <f>HYPERLINK("https://twitter.com/arkangelmetal","@arkangelmetal")</f>
        <v>@arkangelmetal</v>
      </c>
      <c r="C49" s="10" t="s">
        <v>1769</v>
      </c>
      <c r="D49" s="10" t="s">
        <v>1770</v>
      </c>
      <c r="E49" s="9" t="str">
        <f>HYPERLINK("https://twitter.com/arkangelmetal/status/1354149741664366592","1354149741664366592")</f>
        <v>1354149741664366592</v>
      </c>
      <c r="F49" s="10" t="s">
        <v>1771</v>
      </c>
      <c r="G49" s="11"/>
      <c r="H49" s="11"/>
      <c r="I49" s="13">
        <v>0.0</v>
      </c>
      <c r="J49" s="13">
        <v>0.0</v>
      </c>
      <c r="K49" s="9" t="str">
        <f>HYPERLINK("https://mobile.twitter.com","Twitter Web App")</f>
        <v>Twitter Web App</v>
      </c>
      <c r="L49" s="14">
        <v>158.0</v>
      </c>
      <c r="M49" s="14">
        <v>354.0</v>
      </c>
      <c r="N49" s="14">
        <v>0.0</v>
      </c>
      <c r="O49" s="15"/>
      <c r="P49" s="16">
        <v>40855.29730324074</v>
      </c>
      <c r="Q49" s="11"/>
      <c r="R49" s="10" t="s">
        <v>1772</v>
      </c>
      <c r="S49" s="11"/>
      <c r="T49" s="11"/>
      <c r="U49" s="17" t="str">
        <f>HYPERLINK("https://pbs.twimg.com/profile_images/1341320681066270721/YetxbWCg.jpg","View")</f>
        <v>View</v>
      </c>
      <c r="V49" s="11"/>
      <c r="W49" s="11"/>
      <c r="X49" s="11"/>
      <c r="Y49" s="11"/>
      <c r="Z49" s="11"/>
    </row>
    <row r="50">
      <c r="A50" s="8">
        <v>44222.47940972222</v>
      </c>
      <c r="B50" s="9" t="str">
        <f>HYPERLINK("https://twitter.com/Aportelaxx","@Aportelaxx")</f>
        <v>@Aportelaxx</v>
      </c>
      <c r="C50" s="10" t="s">
        <v>1773</v>
      </c>
      <c r="D50" s="10" t="s">
        <v>1774</v>
      </c>
      <c r="E50" s="9" t="str">
        <f>HYPERLINK("https://twitter.com/Aportelaxx/status/1354149696650977280","1354149696650977280")</f>
        <v>1354149696650977280</v>
      </c>
      <c r="F50" s="12" t="s">
        <v>1775</v>
      </c>
      <c r="G50" s="12" t="s">
        <v>1776</v>
      </c>
      <c r="H50" s="11"/>
      <c r="I50" s="13">
        <v>0.0</v>
      </c>
      <c r="J50" s="13">
        <v>3.0</v>
      </c>
      <c r="K50" s="9" t="str">
        <f>HYPERLINK("http://twitter.com/download/iphone","Twitter for iPhone")</f>
        <v>Twitter for iPhone</v>
      </c>
      <c r="L50" s="14">
        <v>232.0</v>
      </c>
      <c r="M50" s="14">
        <v>181.0</v>
      </c>
      <c r="N50" s="14">
        <v>0.0</v>
      </c>
      <c r="O50" s="15"/>
      <c r="P50" s="16">
        <v>40726.50488425926</v>
      </c>
      <c r="Q50" s="10" t="s">
        <v>1777</v>
      </c>
      <c r="R50" s="10" t="s">
        <v>1778</v>
      </c>
      <c r="S50" s="12" t="s">
        <v>1779</v>
      </c>
      <c r="T50" s="11"/>
      <c r="U50" s="17" t="str">
        <f>HYPERLINK("https://pbs.twimg.com/profile_images/1225297136667021312/eOFH4qZH.jpg","View")</f>
        <v>View</v>
      </c>
      <c r="V50" s="11"/>
      <c r="W50" s="11"/>
      <c r="X50" s="11"/>
      <c r="Y50" s="11"/>
      <c r="Z50" s="11"/>
    </row>
    <row r="51">
      <c r="A51" s="8">
        <v>44222.473391203705</v>
      </c>
      <c r="B51" s="9" t="str">
        <f>HYPERLINK("https://twitter.com/SamsaraSunshine","@SamsaraSunshine")</f>
        <v>@SamsaraSunshine</v>
      </c>
      <c r="C51" s="10" t="s">
        <v>1780</v>
      </c>
      <c r="D51" s="10" t="s">
        <v>1781</v>
      </c>
      <c r="E51" s="9" t="str">
        <f>HYPERLINK("https://twitter.com/SamsaraSunshine/status/1354147516997054465","1354147516997054465")</f>
        <v>1354147516997054465</v>
      </c>
      <c r="F51" s="12" t="s">
        <v>1782</v>
      </c>
      <c r="G51" s="11"/>
      <c r="H51" s="11"/>
      <c r="I51" s="13">
        <v>0.0</v>
      </c>
      <c r="J51" s="13">
        <v>3.0</v>
      </c>
      <c r="K51" s="9" t="str">
        <f>HYPERLINK("https://mobile.twitter.com","Twitter Web App")</f>
        <v>Twitter Web App</v>
      </c>
      <c r="L51" s="14">
        <v>227.0</v>
      </c>
      <c r="M51" s="14">
        <v>348.0</v>
      </c>
      <c r="N51" s="14">
        <v>2.0</v>
      </c>
      <c r="O51" s="15"/>
      <c r="P51" s="16">
        <v>43838.52376157408</v>
      </c>
      <c r="Q51" s="10" t="s">
        <v>1783</v>
      </c>
      <c r="R51" s="10" t="s">
        <v>1784</v>
      </c>
      <c r="S51" s="12" t="s">
        <v>1785</v>
      </c>
      <c r="T51" s="11"/>
      <c r="U51" s="17" t="str">
        <f>HYPERLINK("https://pbs.twimg.com/profile_images/1348676543254585347/V_TmNb3j.jpg","View")</f>
        <v>View</v>
      </c>
      <c r="V51" s="11"/>
      <c r="W51" s="11"/>
      <c r="X51" s="11"/>
      <c r="Y51" s="11"/>
      <c r="Z51" s="11"/>
    </row>
    <row r="52">
      <c r="A52" s="8">
        <v>44222.47334490741</v>
      </c>
      <c r="B52" s="9" t="str">
        <f>HYPERLINK("https://twitter.com/gabrielcl33","@gabrielcl33")</f>
        <v>@gabrielcl33</v>
      </c>
      <c r="C52" s="10" t="s">
        <v>1786</v>
      </c>
      <c r="D52" s="10" t="s">
        <v>1787</v>
      </c>
      <c r="E52" s="9" t="str">
        <f>HYPERLINK("https://twitter.com/gabrielcl33/status/1354147499171311616","1354147499171311616")</f>
        <v>1354147499171311616</v>
      </c>
      <c r="F52" s="12" t="s">
        <v>1788</v>
      </c>
      <c r="G52" s="12" t="s">
        <v>1789</v>
      </c>
      <c r="H52" s="11"/>
      <c r="I52" s="13">
        <v>0.0</v>
      </c>
      <c r="J52" s="13">
        <v>1.0</v>
      </c>
      <c r="K52" s="9" t="str">
        <f t="shared" ref="K52:K54" si="13">HYPERLINK("http://twitter.com/download/android","Twitter for Android")</f>
        <v>Twitter for Android</v>
      </c>
      <c r="L52" s="14">
        <v>29.0</v>
      </c>
      <c r="M52" s="14">
        <v>85.0</v>
      </c>
      <c r="N52" s="14">
        <v>0.0</v>
      </c>
      <c r="O52" s="15"/>
      <c r="P52" s="16">
        <v>42460.8990625</v>
      </c>
      <c r="Q52" s="10" t="s">
        <v>1790</v>
      </c>
      <c r="R52" s="10" t="s">
        <v>1791</v>
      </c>
      <c r="S52" s="11"/>
      <c r="T52" s="11"/>
      <c r="U52" s="17" t="str">
        <f>HYPERLINK("https://pbs.twimg.com/profile_images/1273897843451928576/1YICcfQs.jpg","View")</f>
        <v>View</v>
      </c>
      <c r="V52" s="11"/>
      <c r="W52" s="11"/>
      <c r="X52" s="11"/>
      <c r="Y52" s="11"/>
      <c r="Z52" s="11"/>
    </row>
    <row r="53">
      <c r="A53" s="8">
        <v>44222.47002314815</v>
      </c>
      <c r="B53" s="9" t="str">
        <f>HYPERLINK("https://twitter.com/Peke_Payasa","@Peke_Payasa")</f>
        <v>@Peke_Payasa</v>
      </c>
      <c r="C53" s="10" t="s">
        <v>1792</v>
      </c>
      <c r="D53" s="10" t="s">
        <v>1793</v>
      </c>
      <c r="E53" s="9" t="str">
        <f>HYPERLINK("https://twitter.com/Peke_Payasa/status/1354146294504321024","1354146294504321024")</f>
        <v>1354146294504321024</v>
      </c>
      <c r="F53" s="11"/>
      <c r="G53" s="11"/>
      <c r="H53" s="11"/>
      <c r="I53" s="13">
        <v>0.0</v>
      </c>
      <c r="J53" s="13">
        <v>2.0</v>
      </c>
      <c r="K53" s="9" t="str">
        <f t="shared" si="13"/>
        <v>Twitter for Android</v>
      </c>
      <c r="L53" s="14">
        <v>310.0</v>
      </c>
      <c r="M53" s="14">
        <v>855.0</v>
      </c>
      <c r="N53" s="14">
        <v>1.0</v>
      </c>
      <c r="O53" s="15"/>
      <c r="P53" s="16">
        <v>40721.92136574074</v>
      </c>
      <c r="Q53" s="10" t="s">
        <v>1794</v>
      </c>
      <c r="R53" s="10" t="s">
        <v>1795</v>
      </c>
      <c r="S53" s="12" t="s">
        <v>1796</v>
      </c>
      <c r="T53" s="11"/>
      <c r="U53" s="17" t="str">
        <f>HYPERLINK("https://pbs.twimg.com/profile_images/1252970099360890880/mNRTtY-G.jpg","View")</f>
        <v>View</v>
      </c>
      <c r="V53" s="11"/>
      <c r="W53" s="11"/>
      <c r="X53" s="11"/>
      <c r="Y53" s="11"/>
      <c r="Z53" s="11"/>
    </row>
    <row r="54">
      <c r="A54" s="8">
        <v>44222.46965277778</v>
      </c>
      <c r="B54" s="9" t="str">
        <f>HYPERLINK("https://twitter.com/GNortania","@GNortania")</f>
        <v>@GNortania</v>
      </c>
      <c r="C54" s="10" t="s">
        <v>1797</v>
      </c>
      <c r="D54" s="10" t="s">
        <v>1798</v>
      </c>
      <c r="E54" s="9" t="str">
        <f>HYPERLINK("https://twitter.com/GNortania/status/1354146160076877824","1354146160076877824")</f>
        <v>1354146160076877824</v>
      </c>
      <c r="F54" s="12" t="s">
        <v>1799</v>
      </c>
      <c r="G54" s="12" t="s">
        <v>1800</v>
      </c>
      <c r="H54" s="11"/>
      <c r="I54" s="13">
        <v>0.0</v>
      </c>
      <c r="J54" s="13">
        <v>8.0</v>
      </c>
      <c r="K54" s="9" t="str">
        <f t="shared" si="13"/>
        <v>Twitter for Android</v>
      </c>
      <c r="L54" s="14">
        <v>289.0</v>
      </c>
      <c r="M54" s="14">
        <v>398.0</v>
      </c>
      <c r="N54" s="14">
        <v>10.0</v>
      </c>
      <c r="O54" s="15"/>
      <c r="P54" s="16">
        <v>43644.272627314815</v>
      </c>
      <c r="Q54" s="10" t="s">
        <v>1801</v>
      </c>
      <c r="R54" s="10" t="s">
        <v>1802</v>
      </c>
      <c r="S54" s="12" t="s">
        <v>1803</v>
      </c>
      <c r="T54" s="11"/>
      <c r="U54" s="17" t="str">
        <f>HYPERLINK("https://pbs.twimg.com/profile_images/1351068752817881094/6XvZgvXC.jpg","View")</f>
        <v>View</v>
      </c>
      <c r="V54" s="11"/>
      <c r="W54" s="11"/>
      <c r="X54" s="11"/>
      <c r="Y54" s="11"/>
      <c r="Z54" s="11"/>
    </row>
    <row r="55">
      <c r="A55" s="8">
        <v>44222.46935185185</v>
      </c>
      <c r="B55" s="9" t="str">
        <f>HYPERLINK("https://twitter.com/Mliebearoha","@Mliebearoha")</f>
        <v>@Mliebearoha</v>
      </c>
      <c r="C55" s="10" t="s">
        <v>1804</v>
      </c>
      <c r="D55" s="10" t="s">
        <v>1805</v>
      </c>
      <c r="E55" s="9" t="str">
        <f>HYPERLINK("https://twitter.com/Mliebearoha/status/1354146052492980227","1354146052492980227")</f>
        <v>1354146052492980227</v>
      </c>
      <c r="F55" s="12" t="s">
        <v>1806</v>
      </c>
      <c r="G55" s="11"/>
      <c r="H55" s="11"/>
      <c r="I55" s="13">
        <v>0.0</v>
      </c>
      <c r="J55" s="13">
        <v>0.0</v>
      </c>
      <c r="K55" s="9" t="str">
        <f>HYPERLINK("http://twitter.com/download/iphone","Twitter for iPhone")</f>
        <v>Twitter for iPhone</v>
      </c>
      <c r="L55" s="14">
        <v>4000.0</v>
      </c>
      <c r="M55" s="14">
        <v>792.0</v>
      </c>
      <c r="N55" s="14">
        <v>11.0</v>
      </c>
      <c r="O55" s="15"/>
      <c r="P55" s="16">
        <v>43577.37884259259</v>
      </c>
      <c r="Q55" s="10" t="s">
        <v>1807</v>
      </c>
      <c r="R55" s="10" t="s">
        <v>1808</v>
      </c>
      <c r="S55" s="11"/>
      <c r="T55" s="11"/>
      <c r="U55" s="17" t="str">
        <f>HYPERLINK("https://pbs.twimg.com/profile_images/1348358665791819776/zJw4nr8w.jpg","View")</f>
        <v>View</v>
      </c>
      <c r="V55" s="11"/>
      <c r="W55" s="11"/>
      <c r="X55" s="11"/>
      <c r="Y55" s="11"/>
      <c r="Z55" s="11"/>
    </row>
    <row r="56">
      <c r="A56" s="8">
        <v>44222.46873842593</v>
      </c>
      <c r="B56" s="9" t="str">
        <f>HYPERLINK("https://twitter.com/noirphilm","@noirphilm")</f>
        <v>@noirphilm</v>
      </c>
      <c r="C56" s="10" t="s">
        <v>1809</v>
      </c>
      <c r="D56" s="10" t="s">
        <v>1810</v>
      </c>
      <c r="E56" s="9" t="str">
        <f>HYPERLINK("https://twitter.com/noirphilm/status/1354145828772917250","1354145828772917250")</f>
        <v>1354145828772917250</v>
      </c>
      <c r="F56" s="11"/>
      <c r="G56" s="11"/>
      <c r="H56" s="11"/>
      <c r="I56" s="13">
        <v>0.0</v>
      </c>
      <c r="J56" s="13">
        <v>4.0</v>
      </c>
      <c r="K56" s="9" t="str">
        <f t="shared" ref="K56:K67" si="14">HYPERLINK("http://twitter.com/download/android","Twitter for Android")</f>
        <v>Twitter for Android</v>
      </c>
      <c r="L56" s="14">
        <v>1404.0</v>
      </c>
      <c r="M56" s="14">
        <v>1297.0</v>
      </c>
      <c r="N56" s="14">
        <v>5.0</v>
      </c>
      <c r="O56" s="15"/>
      <c r="P56" s="16">
        <v>44177.95023148148</v>
      </c>
      <c r="Q56" s="10" t="s">
        <v>1811</v>
      </c>
      <c r="R56" s="10" t="s">
        <v>1812</v>
      </c>
      <c r="S56" s="12" t="s">
        <v>1813</v>
      </c>
      <c r="T56" s="11"/>
      <c r="U56" s="17" t="str">
        <f>HYPERLINK("https://pbs.twimg.com/profile_images/1354111023536603136/FWyBA26_.jpg","View")</f>
        <v>View</v>
      </c>
      <c r="V56" s="11"/>
      <c r="W56" s="11"/>
      <c r="X56" s="11"/>
      <c r="Y56" s="11"/>
      <c r="Z56" s="11"/>
    </row>
    <row r="57">
      <c r="A57" s="8">
        <v>44222.468460648146</v>
      </c>
      <c r="B57" s="9" t="str">
        <f>HYPERLINK("https://twitter.com/intensita96","@intensita96")</f>
        <v>@intensita96</v>
      </c>
      <c r="C57" s="10" t="s">
        <v>1814</v>
      </c>
      <c r="D57" s="10" t="s">
        <v>1815</v>
      </c>
      <c r="E57" s="9" t="str">
        <f>HYPERLINK("https://twitter.com/intensita96/status/1354145728092889091","1354145728092889091")</f>
        <v>1354145728092889091</v>
      </c>
      <c r="F57" s="11"/>
      <c r="G57" s="12" t="s">
        <v>1816</v>
      </c>
      <c r="H57" s="11"/>
      <c r="I57" s="13">
        <v>0.0</v>
      </c>
      <c r="J57" s="13">
        <v>11.0</v>
      </c>
      <c r="K57" s="9" t="str">
        <f t="shared" si="14"/>
        <v>Twitter for Android</v>
      </c>
      <c r="L57" s="14">
        <v>197.0</v>
      </c>
      <c r="M57" s="14">
        <v>148.0</v>
      </c>
      <c r="N57" s="14">
        <v>0.0</v>
      </c>
      <c r="O57" s="15"/>
      <c r="P57" s="16">
        <v>44174.43457175926</v>
      </c>
      <c r="Q57" s="11"/>
      <c r="R57" s="10" t="s">
        <v>1817</v>
      </c>
      <c r="S57" s="11"/>
      <c r="T57" s="11"/>
      <c r="U57" s="17" t="str">
        <f>HYPERLINK("https://pbs.twimg.com/profile_images/1350418957426171906/gemUAFKG.jpg","View")</f>
        <v>View</v>
      </c>
      <c r="V57" s="11"/>
      <c r="W57" s="11"/>
      <c r="X57" s="11"/>
      <c r="Y57" s="11"/>
      <c r="Z57" s="11"/>
    </row>
    <row r="58">
      <c r="A58" s="8">
        <v>44222.465625</v>
      </c>
      <c r="B58" s="9" t="str">
        <f>HYPERLINK("https://twitter.com/inSoleiltea","@inSoleiltea")</f>
        <v>@inSoleiltea</v>
      </c>
      <c r="C58" s="10" t="s">
        <v>1818</v>
      </c>
      <c r="D58" s="10" t="s">
        <v>1819</v>
      </c>
      <c r="E58" s="9" t="str">
        <f>HYPERLINK("https://twitter.com/inSoleiltea/status/1354144704288485376","1354144704288485376")</f>
        <v>1354144704288485376</v>
      </c>
      <c r="F58" s="10" t="s">
        <v>1820</v>
      </c>
      <c r="G58" s="11"/>
      <c r="H58" s="11"/>
      <c r="I58" s="13">
        <v>0.0</v>
      </c>
      <c r="J58" s="13">
        <v>0.0</v>
      </c>
      <c r="K58" s="9" t="str">
        <f t="shared" si="14"/>
        <v>Twitter for Android</v>
      </c>
      <c r="L58" s="14">
        <v>446.0</v>
      </c>
      <c r="M58" s="14">
        <v>297.0</v>
      </c>
      <c r="N58" s="14">
        <v>15.0</v>
      </c>
      <c r="O58" s="15"/>
      <c r="P58" s="16">
        <v>43951.560949074075</v>
      </c>
      <c r="Q58" s="10" t="s">
        <v>1821</v>
      </c>
      <c r="R58" s="10" t="s">
        <v>1822</v>
      </c>
      <c r="S58" s="12" t="s">
        <v>1823</v>
      </c>
      <c r="T58" s="11"/>
      <c r="U58" s="17" t="str">
        <f>HYPERLINK("https://pbs.twimg.com/profile_images/1353907480393297921/m-DILPxo.jpg","View")</f>
        <v>View</v>
      </c>
      <c r="V58" s="11"/>
      <c r="W58" s="11"/>
      <c r="X58" s="11"/>
      <c r="Y58" s="11"/>
      <c r="Z58" s="11"/>
    </row>
    <row r="59">
      <c r="A59" s="8">
        <v>44222.4653587963</v>
      </c>
      <c r="B59" s="9" t="str">
        <f>HYPERLINK("https://twitter.com/wheeinpetals","@wheeinpetals")</f>
        <v>@wheeinpetals</v>
      </c>
      <c r="C59" s="10" t="s">
        <v>1824</v>
      </c>
      <c r="D59" s="10" t="s">
        <v>1825</v>
      </c>
      <c r="E59" s="9" t="str">
        <f>HYPERLINK("https://twitter.com/wheeinpetals/status/1354144607873986561","1354144607873986561")</f>
        <v>1354144607873986561</v>
      </c>
      <c r="F59" s="12" t="s">
        <v>1826</v>
      </c>
      <c r="G59" s="11"/>
      <c r="H59" s="11"/>
      <c r="I59" s="13">
        <v>0.0</v>
      </c>
      <c r="J59" s="13">
        <v>1.0</v>
      </c>
      <c r="K59" s="9" t="str">
        <f t="shared" si="14"/>
        <v>Twitter for Android</v>
      </c>
      <c r="L59" s="14">
        <v>610.0</v>
      </c>
      <c r="M59" s="14">
        <v>582.0</v>
      </c>
      <c r="N59" s="14">
        <v>21.0</v>
      </c>
      <c r="O59" s="15"/>
      <c r="P59" s="16">
        <v>42204.35480324074</v>
      </c>
      <c r="Q59" s="10" t="s">
        <v>1827</v>
      </c>
      <c r="R59" s="10" t="s">
        <v>1828</v>
      </c>
      <c r="S59" s="11"/>
      <c r="T59" s="11"/>
      <c r="U59" s="17" t="str">
        <f>HYPERLINK("https://pbs.twimg.com/profile_images/1348132477265702915/XRqhcpUn.jpg","View")</f>
        <v>View</v>
      </c>
      <c r="V59" s="11"/>
      <c r="W59" s="11"/>
      <c r="X59" s="11"/>
      <c r="Y59" s="11"/>
      <c r="Z59" s="11"/>
    </row>
    <row r="60">
      <c r="A60" s="8">
        <v>44222.46481481481</v>
      </c>
      <c r="B60" s="9" t="str">
        <f>HYPERLINK("https://twitter.com/franeldel","@franeldel")</f>
        <v>@franeldel</v>
      </c>
      <c r="C60" s="10" t="s">
        <v>1829</v>
      </c>
      <c r="D60" s="10" t="s">
        <v>1830</v>
      </c>
      <c r="E60" s="9" t="str">
        <f>HYPERLINK("https://twitter.com/franeldel/status/1354144409240154113","1354144409240154113")</f>
        <v>1354144409240154113</v>
      </c>
      <c r="F60" s="11"/>
      <c r="G60" s="12" t="s">
        <v>1831</v>
      </c>
      <c r="H60" s="11"/>
      <c r="I60" s="13">
        <v>0.0</v>
      </c>
      <c r="J60" s="13">
        <v>3.0</v>
      </c>
      <c r="K60" s="9" t="str">
        <f t="shared" si="14"/>
        <v>Twitter for Android</v>
      </c>
      <c r="L60" s="14">
        <v>184.0</v>
      </c>
      <c r="M60" s="14">
        <v>659.0</v>
      </c>
      <c r="N60" s="14">
        <v>2.0</v>
      </c>
      <c r="O60" s="15"/>
      <c r="P60" s="16">
        <v>43645.38527777778</v>
      </c>
      <c r="Q60" s="11"/>
      <c r="R60" s="10" t="s">
        <v>1832</v>
      </c>
      <c r="S60" s="12" t="s">
        <v>1833</v>
      </c>
      <c r="T60" s="11"/>
      <c r="U60" s="17" t="str">
        <f>HYPERLINK("https://pbs.twimg.com/profile_images/1322289197533810690/kMLemCQE.jpg","View")</f>
        <v>View</v>
      </c>
      <c r="V60" s="11"/>
      <c r="W60" s="11"/>
      <c r="X60" s="11"/>
      <c r="Y60" s="11"/>
      <c r="Z60" s="11"/>
    </row>
    <row r="61">
      <c r="A61" s="8">
        <v>44222.46467592593</v>
      </c>
      <c r="B61" s="9" t="str">
        <f>HYPERLINK("https://twitter.com/laaurasanchez1","@laaurasanchez1")</f>
        <v>@laaurasanchez1</v>
      </c>
      <c r="C61" s="10" t="s">
        <v>1834</v>
      </c>
      <c r="D61" s="10" t="s">
        <v>1835</v>
      </c>
      <c r="E61" s="9" t="str">
        <f>HYPERLINK("https://twitter.com/laaurasanchez1/status/1354144356601634816","1354144356601634816")</f>
        <v>1354144356601634816</v>
      </c>
      <c r="F61" s="11"/>
      <c r="G61" s="11"/>
      <c r="H61" s="11"/>
      <c r="I61" s="13">
        <v>0.0</v>
      </c>
      <c r="J61" s="13">
        <v>0.0</v>
      </c>
      <c r="K61" s="9" t="str">
        <f t="shared" si="14"/>
        <v>Twitter for Android</v>
      </c>
      <c r="L61" s="14">
        <v>65.0</v>
      </c>
      <c r="M61" s="14">
        <v>75.0</v>
      </c>
      <c r="N61" s="14">
        <v>1.0</v>
      </c>
      <c r="O61" s="15"/>
      <c r="P61" s="16">
        <v>43805.36387731481</v>
      </c>
      <c r="Q61" s="11"/>
      <c r="R61" s="10" t="s">
        <v>1836</v>
      </c>
      <c r="S61" s="11"/>
      <c r="T61" s="11"/>
      <c r="U61" s="17" t="str">
        <f>HYPERLINK("https://pbs.twimg.com/profile_images/1347560686826770432/P2LtRKIm.jpg","View")</f>
        <v>View</v>
      </c>
      <c r="V61" s="11"/>
      <c r="W61" s="11"/>
      <c r="X61" s="11"/>
      <c r="Y61" s="11"/>
      <c r="Z61" s="11"/>
    </row>
    <row r="62">
      <c r="A62" s="8">
        <v>44222.46461805556</v>
      </c>
      <c r="B62" s="9" t="str">
        <f>HYPERLINK("https://twitter.com/Andreafabok","@Andreafabok")</f>
        <v>@Andreafabok</v>
      </c>
      <c r="C62" s="10" t="s">
        <v>1837</v>
      </c>
      <c r="D62" s="10" t="s">
        <v>1838</v>
      </c>
      <c r="E62" s="9" t="str">
        <f>HYPERLINK("https://twitter.com/Andreafabok/status/1354144339266572288","1354144339266572288")</f>
        <v>1354144339266572288</v>
      </c>
      <c r="F62" s="12" t="s">
        <v>1839</v>
      </c>
      <c r="G62" s="12" t="s">
        <v>1840</v>
      </c>
      <c r="H62" s="11"/>
      <c r="I62" s="13">
        <v>0.0</v>
      </c>
      <c r="J62" s="13">
        <v>1.0</v>
      </c>
      <c r="K62" s="9" t="str">
        <f t="shared" si="14"/>
        <v>Twitter for Android</v>
      </c>
      <c r="L62" s="14">
        <v>2898.0</v>
      </c>
      <c r="M62" s="14">
        <v>2952.0</v>
      </c>
      <c r="N62" s="14">
        <v>2.0</v>
      </c>
      <c r="O62" s="15"/>
      <c r="P62" s="16">
        <v>43747.82402777778</v>
      </c>
      <c r="Q62" s="10" t="s">
        <v>1841</v>
      </c>
      <c r="R62" s="10" t="s">
        <v>1842</v>
      </c>
      <c r="S62" s="11"/>
      <c r="T62" s="11"/>
      <c r="U62" s="17" t="str">
        <f>HYPERLINK("https://pbs.twimg.com/profile_images/1183151335069405184/UGp8Wf8Y.jpg","View")</f>
        <v>View</v>
      </c>
      <c r="V62" s="11"/>
      <c r="W62" s="11"/>
      <c r="X62" s="11"/>
      <c r="Y62" s="11"/>
      <c r="Z62" s="11"/>
    </row>
    <row r="63">
      <c r="A63" s="8">
        <v>44222.46263888889</v>
      </c>
      <c r="B63" s="9" t="str">
        <f>HYPERLINK("https://twitter.com/ElCuervoDePoe__","@ElCuervoDePoe__")</f>
        <v>@ElCuervoDePoe__</v>
      </c>
      <c r="C63" s="10" t="s">
        <v>1843</v>
      </c>
      <c r="D63" s="10" t="s">
        <v>1844</v>
      </c>
      <c r="E63" s="9" t="str">
        <f>HYPERLINK("https://twitter.com/ElCuervoDePoe__/status/1354143620518080512","1354143620518080512")</f>
        <v>1354143620518080512</v>
      </c>
      <c r="F63" s="11"/>
      <c r="G63" s="11"/>
      <c r="H63" s="11"/>
      <c r="I63" s="13">
        <v>0.0</v>
      </c>
      <c r="J63" s="13">
        <v>1.0</v>
      </c>
      <c r="K63" s="9" t="str">
        <f t="shared" si="14"/>
        <v>Twitter for Android</v>
      </c>
      <c r="L63" s="14">
        <v>1192.0</v>
      </c>
      <c r="M63" s="14">
        <v>1531.0</v>
      </c>
      <c r="N63" s="14">
        <v>5.0</v>
      </c>
      <c r="O63" s="15"/>
      <c r="P63" s="16">
        <v>40291.757789351854</v>
      </c>
      <c r="Q63" s="10" t="s">
        <v>1281</v>
      </c>
      <c r="R63" s="10" t="s">
        <v>1845</v>
      </c>
      <c r="S63" s="11"/>
      <c r="T63" s="11"/>
      <c r="U63" s="17" t="str">
        <f>HYPERLINK("https://pbs.twimg.com/profile_images/1351500432544301059/PuSeKzXi.jpg","View")</f>
        <v>View</v>
      </c>
      <c r="V63" s="11"/>
      <c r="W63" s="11"/>
      <c r="X63" s="11"/>
      <c r="Y63" s="11"/>
      <c r="Z63" s="11"/>
    </row>
    <row r="64">
      <c r="A64" s="8">
        <v>44222.46115740741</v>
      </c>
      <c r="B64" s="9" t="str">
        <f>HYPERLINK("https://twitter.com/krissiempre","@krissiempre")</f>
        <v>@krissiempre</v>
      </c>
      <c r="C64" s="10" t="s">
        <v>1846</v>
      </c>
      <c r="D64" s="10" t="s">
        <v>1847</v>
      </c>
      <c r="E64" s="9" t="str">
        <f>HYPERLINK("https://twitter.com/krissiempre/status/1354143083882020865","1354143083882020865")</f>
        <v>1354143083882020865</v>
      </c>
      <c r="F64" s="11"/>
      <c r="G64" s="12" t="s">
        <v>1848</v>
      </c>
      <c r="H64" s="11"/>
      <c r="I64" s="13">
        <v>0.0</v>
      </c>
      <c r="J64" s="13">
        <v>1.0</v>
      </c>
      <c r="K64" s="9" t="str">
        <f t="shared" si="14"/>
        <v>Twitter for Android</v>
      </c>
      <c r="L64" s="14">
        <v>2916.0</v>
      </c>
      <c r="M64" s="14">
        <v>299.0</v>
      </c>
      <c r="N64" s="14">
        <v>21.0</v>
      </c>
      <c r="O64" s="15"/>
      <c r="P64" s="16">
        <v>41322.23086805556</v>
      </c>
      <c r="Q64" s="10" t="s">
        <v>972</v>
      </c>
      <c r="R64" s="10" t="s">
        <v>1849</v>
      </c>
      <c r="S64" s="11"/>
      <c r="T64" s="11"/>
      <c r="U64" s="17" t="str">
        <f>HYPERLINK("https://pbs.twimg.com/profile_images/1219227838320140289/XriFm0-9.jpg","View")</f>
        <v>View</v>
      </c>
      <c r="V64" s="11"/>
      <c r="W64" s="11"/>
      <c r="X64" s="11"/>
      <c r="Y64" s="11"/>
      <c r="Z64" s="11"/>
    </row>
    <row r="65">
      <c r="A65" s="8">
        <v>44222.460393518515</v>
      </c>
      <c r="B65" s="9" t="str">
        <f>HYPERLINK("https://twitter.com/ijotaese_","@ijotaese_")</f>
        <v>@ijotaese_</v>
      </c>
      <c r="C65" s="10" t="s">
        <v>1850</v>
      </c>
      <c r="D65" s="10" t="s">
        <v>1851</v>
      </c>
      <c r="E65" s="9" t="str">
        <f>HYPERLINK("https://twitter.com/ijotaese_/status/1354142807695491072","1354142807695491072")</f>
        <v>1354142807695491072</v>
      </c>
      <c r="F65" s="11"/>
      <c r="G65" s="11"/>
      <c r="H65" s="11"/>
      <c r="I65" s="13">
        <v>0.0</v>
      </c>
      <c r="J65" s="13">
        <v>0.0</v>
      </c>
      <c r="K65" s="9" t="str">
        <f t="shared" si="14"/>
        <v>Twitter for Android</v>
      </c>
      <c r="L65" s="14">
        <v>2333.0</v>
      </c>
      <c r="M65" s="14">
        <v>482.0</v>
      </c>
      <c r="N65" s="14">
        <v>2.0</v>
      </c>
      <c r="O65" s="15"/>
      <c r="P65" s="16">
        <v>42025.809537037036</v>
      </c>
      <c r="Q65" s="10" t="s">
        <v>1633</v>
      </c>
      <c r="R65" s="10" t="s">
        <v>1852</v>
      </c>
      <c r="S65" s="11"/>
      <c r="T65" s="11"/>
      <c r="U65" s="17" t="str">
        <f>HYPERLINK("https://pbs.twimg.com/profile_images/1353978461413650435/HOvdhJrU.jpg","View")</f>
        <v>View</v>
      </c>
      <c r="V65" s="11"/>
      <c r="W65" s="11"/>
      <c r="X65" s="11"/>
      <c r="Y65" s="11"/>
      <c r="Z65" s="11"/>
    </row>
    <row r="66">
      <c r="A66" s="8">
        <v>44222.45989583334</v>
      </c>
      <c r="B66" s="9" t="str">
        <f>HYPERLINK("https://twitter.com/unbolivic","@unbolivic")</f>
        <v>@unbolivic</v>
      </c>
      <c r="C66" s="10" t="s">
        <v>1853</v>
      </c>
      <c r="D66" s="10" t="s">
        <v>1854</v>
      </c>
      <c r="E66" s="9" t="str">
        <f>HYPERLINK("https://twitter.com/unbolivic/status/1354142625067098112","1354142625067098112")</f>
        <v>1354142625067098112</v>
      </c>
      <c r="F66" s="11"/>
      <c r="G66" s="11"/>
      <c r="H66" s="11"/>
      <c r="I66" s="13">
        <v>0.0</v>
      </c>
      <c r="J66" s="13">
        <v>3.0</v>
      </c>
      <c r="K66" s="9" t="str">
        <f t="shared" si="14"/>
        <v>Twitter for Android</v>
      </c>
      <c r="L66" s="14">
        <v>551.0</v>
      </c>
      <c r="M66" s="14">
        <v>708.0</v>
      </c>
      <c r="N66" s="14">
        <v>0.0</v>
      </c>
      <c r="O66" s="15"/>
      <c r="P66" s="16">
        <v>43816.284212962964</v>
      </c>
      <c r="Q66" s="10" t="s">
        <v>1855</v>
      </c>
      <c r="R66" s="10" t="s">
        <v>1856</v>
      </c>
      <c r="S66" s="12" t="s">
        <v>1857</v>
      </c>
      <c r="T66" s="11"/>
      <c r="U66" s="17" t="str">
        <f>HYPERLINK("https://pbs.twimg.com/profile_images/1354142301317177347/_55rlNvv.jpg","View")</f>
        <v>View</v>
      </c>
      <c r="V66" s="11"/>
      <c r="W66" s="11"/>
      <c r="X66" s="11"/>
      <c r="Y66" s="11"/>
      <c r="Z66" s="11"/>
    </row>
    <row r="67">
      <c r="A67" s="8">
        <v>44222.459756944445</v>
      </c>
      <c r="B67" s="9" t="str">
        <f>HYPERLINK("https://twitter.com/kansaita_","@kansaita_")</f>
        <v>@kansaita_</v>
      </c>
      <c r="C67" s="10" t="s">
        <v>1858</v>
      </c>
      <c r="D67" s="10" t="s">
        <v>1859</v>
      </c>
      <c r="E67" s="9" t="str">
        <f>HYPERLINK("https://twitter.com/kansaita_/status/1354142575247183872","1354142575247183872")</f>
        <v>1354142575247183872</v>
      </c>
      <c r="F67" s="11"/>
      <c r="G67" s="11"/>
      <c r="H67" s="11"/>
      <c r="I67" s="13">
        <v>94.0</v>
      </c>
      <c r="J67" s="13">
        <v>353.0</v>
      </c>
      <c r="K67" s="9" t="str">
        <f t="shared" si="14"/>
        <v>Twitter for Android</v>
      </c>
      <c r="L67" s="14">
        <v>68875.0</v>
      </c>
      <c r="M67" s="14">
        <v>94.0</v>
      </c>
      <c r="N67" s="14">
        <v>37.0</v>
      </c>
      <c r="O67" s="15"/>
      <c r="P67" s="16">
        <v>43287.16563657408</v>
      </c>
      <c r="Q67" s="11"/>
      <c r="R67" s="10" t="s">
        <v>1860</v>
      </c>
      <c r="S67" s="11"/>
      <c r="T67" s="11"/>
      <c r="U67" s="17" t="str">
        <f>HYPERLINK("https://pbs.twimg.com/profile_images/1346790879248441345/JAGPVO_C.jpg","View")</f>
        <v>View</v>
      </c>
      <c r="V67" s="11"/>
      <c r="W67" s="11"/>
      <c r="X67" s="11"/>
      <c r="Y67" s="11"/>
      <c r="Z67" s="11"/>
    </row>
    <row r="68">
      <c r="A68" s="8">
        <v>44222.4587962963</v>
      </c>
      <c r="B68" s="9" t="str">
        <f>HYPERLINK("https://twitter.com/aaroooatj","@aaroooatj")</f>
        <v>@aaroooatj</v>
      </c>
      <c r="C68" s="10" t="s">
        <v>1861</v>
      </c>
      <c r="D68" s="10" t="s">
        <v>1862</v>
      </c>
      <c r="E68" s="9" t="str">
        <f>HYPERLINK("https://twitter.com/aaroooatj/status/1354142228453724160","1354142228453724160")</f>
        <v>1354142228453724160</v>
      </c>
      <c r="F68" s="12" t="s">
        <v>1863</v>
      </c>
      <c r="G68" s="11"/>
      <c r="H68" s="11"/>
      <c r="I68" s="13">
        <v>0.0</v>
      </c>
      <c r="J68" s="13">
        <v>0.0</v>
      </c>
      <c r="K68" s="9" t="str">
        <f t="shared" ref="K68:K71" si="15">HYPERLINK("http://twitter.com/download/iphone","Twitter for iPhone")</f>
        <v>Twitter for iPhone</v>
      </c>
      <c r="L68" s="14">
        <v>288.0</v>
      </c>
      <c r="M68" s="14">
        <v>268.0</v>
      </c>
      <c r="N68" s="14">
        <v>5.0</v>
      </c>
      <c r="O68" s="15"/>
      <c r="P68" s="16">
        <v>43774.98846064815</v>
      </c>
      <c r="Q68" s="10" t="s">
        <v>1864</v>
      </c>
      <c r="R68" s="10" t="s">
        <v>1865</v>
      </c>
      <c r="S68" s="12" t="s">
        <v>1866</v>
      </c>
      <c r="T68" s="11"/>
      <c r="U68" s="17" t="str">
        <f>HYPERLINK("https://pbs.twimg.com/profile_images/1342781605698560001/uJ5AK6Sf.jpg","View")</f>
        <v>View</v>
      </c>
      <c r="V68" s="11"/>
      <c r="W68" s="11"/>
      <c r="X68" s="11"/>
      <c r="Y68" s="11"/>
      <c r="Z68" s="11"/>
    </row>
    <row r="69">
      <c r="A69" s="8">
        <v>44222.45717592593</v>
      </c>
      <c r="B69" s="9" t="str">
        <f>HYPERLINK("https://twitter.com/herrera_angel99","@herrera_angel99")</f>
        <v>@herrera_angel99</v>
      </c>
      <c r="C69" s="10" t="s">
        <v>1867</v>
      </c>
      <c r="D69" s="10" t="s">
        <v>1868</v>
      </c>
      <c r="E69" s="9" t="str">
        <f>HYPERLINK("https://twitter.com/herrera_angel99/status/1354141638726189056","1354141638726189056")</f>
        <v>1354141638726189056</v>
      </c>
      <c r="F69" s="12" t="s">
        <v>1869</v>
      </c>
      <c r="G69" s="10" t="s">
        <v>1870</v>
      </c>
      <c r="H69" s="11"/>
      <c r="I69" s="13">
        <v>0.0</v>
      </c>
      <c r="J69" s="13">
        <v>0.0</v>
      </c>
      <c r="K69" s="9" t="str">
        <f t="shared" si="15"/>
        <v>Twitter for iPhone</v>
      </c>
      <c r="L69" s="14">
        <v>170.0</v>
      </c>
      <c r="M69" s="14">
        <v>417.0</v>
      </c>
      <c r="N69" s="14">
        <v>0.0</v>
      </c>
      <c r="O69" s="15"/>
      <c r="P69" s="16">
        <v>43601.77537037037</v>
      </c>
      <c r="Q69" s="10" t="s">
        <v>55</v>
      </c>
      <c r="R69" s="10" t="s">
        <v>1871</v>
      </c>
      <c r="S69" s="11"/>
      <c r="T69" s="11"/>
      <c r="U69" s="17" t="str">
        <f>HYPERLINK("https://pbs.twimg.com/profile_images/1346936716255391745/5nCBk1yb.jpg","View")</f>
        <v>View</v>
      </c>
      <c r="V69" s="11"/>
      <c r="W69" s="11"/>
      <c r="X69" s="11"/>
      <c r="Y69" s="11"/>
      <c r="Z69" s="11"/>
    </row>
    <row r="70">
      <c r="A70" s="8">
        <v>44222.452152777776</v>
      </c>
      <c r="B70" s="9" t="str">
        <f>HYPERLINK("https://twitter.com/giovannagarcm","@giovannagarcm")</f>
        <v>@giovannagarcm</v>
      </c>
      <c r="C70" s="10" t="s">
        <v>1872</v>
      </c>
      <c r="D70" s="10" t="s">
        <v>1873</v>
      </c>
      <c r="E70" s="9" t="str">
        <f>HYPERLINK("https://twitter.com/giovannagarcm/status/1354139818175979521","1354139818175979521")</f>
        <v>1354139818175979521</v>
      </c>
      <c r="F70" s="11"/>
      <c r="G70" s="11"/>
      <c r="H70" s="11"/>
      <c r="I70" s="13">
        <v>0.0</v>
      </c>
      <c r="J70" s="13">
        <v>0.0</v>
      </c>
      <c r="K70" s="9" t="str">
        <f t="shared" si="15"/>
        <v>Twitter for iPhone</v>
      </c>
      <c r="L70" s="14">
        <v>100.0</v>
      </c>
      <c r="M70" s="14">
        <v>129.0</v>
      </c>
      <c r="N70" s="14">
        <v>1.0</v>
      </c>
      <c r="O70" s="15"/>
      <c r="P70" s="16">
        <v>39937.56758101852</v>
      </c>
      <c r="Q70" s="11"/>
      <c r="R70" s="10" t="s">
        <v>1874</v>
      </c>
      <c r="S70" s="11"/>
      <c r="T70" s="11"/>
      <c r="U70" s="17" t="str">
        <f>HYPERLINK("https://pbs.twimg.com/profile_images/1314083926609203200/0XOGQM5k.jpg","View")</f>
        <v>View</v>
      </c>
      <c r="V70" s="11"/>
      <c r="W70" s="11"/>
      <c r="X70" s="11"/>
      <c r="Y70" s="11"/>
      <c r="Z70" s="11"/>
    </row>
    <row r="71">
      <c r="A71" s="8">
        <v>44222.451006944444</v>
      </c>
      <c r="B71" s="9" t="str">
        <f>HYPERLINK("https://twitter.com/carmenoutctxt","@carmenoutctxt")</f>
        <v>@carmenoutctxt</v>
      </c>
      <c r="C71" s="10" t="s">
        <v>1875</v>
      </c>
      <c r="D71" s="10" t="s">
        <v>1876</v>
      </c>
      <c r="E71" s="9" t="str">
        <f>HYPERLINK("https://twitter.com/carmenoutctxt/status/1354139405527752706","1354139405527752706")</f>
        <v>1354139405527752706</v>
      </c>
      <c r="F71" s="11"/>
      <c r="G71" s="11"/>
      <c r="H71" s="11"/>
      <c r="I71" s="13">
        <v>0.0</v>
      </c>
      <c r="J71" s="13">
        <v>3.0</v>
      </c>
      <c r="K71" s="9" t="str">
        <f t="shared" si="15"/>
        <v>Twitter for iPhone</v>
      </c>
      <c r="L71" s="14">
        <v>549.0</v>
      </c>
      <c r="M71" s="14">
        <v>383.0</v>
      </c>
      <c r="N71" s="14">
        <v>1.0</v>
      </c>
      <c r="O71" s="15"/>
      <c r="P71" s="16">
        <v>41360.50497685185</v>
      </c>
      <c r="Q71" s="10" t="s">
        <v>1877</v>
      </c>
      <c r="R71" s="10" t="s">
        <v>1878</v>
      </c>
      <c r="S71" s="12" t="s">
        <v>1879</v>
      </c>
      <c r="T71" s="11"/>
      <c r="U71" s="17" t="str">
        <f>HYPERLINK("https://pbs.twimg.com/profile_images/1267557355316826113/tu_Z10kI.jpg","View")</f>
        <v>View</v>
      </c>
      <c r="V71" s="11"/>
      <c r="W71" s="11"/>
      <c r="X71" s="11"/>
      <c r="Y71" s="11"/>
      <c r="Z71" s="11"/>
    </row>
    <row r="72">
      <c r="A72" s="8">
        <v>44222.45017361111</v>
      </c>
      <c r="B72" s="9" t="str">
        <f>HYPERLINK("https://twitter.com/babyy_woman","@babyy_woman")</f>
        <v>@babyy_woman</v>
      </c>
      <c r="C72" s="10" t="s">
        <v>1880</v>
      </c>
      <c r="D72" s="10" t="s">
        <v>1881</v>
      </c>
      <c r="E72" s="9" t="str">
        <f>HYPERLINK("https://twitter.com/babyy_woman/status/1354139104691281920","1354139104691281920")</f>
        <v>1354139104691281920</v>
      </c>
      <c r="F72" s="12" t="s">
        <v>1882</v>
      </c>
      <c r="G72" s="12" t="s">
        <v>1883</v>
      </c>
      <c r="H72" s="11"/>
      <c r="I72" s="13">
        <v>0.0</v>
      </c>
      <c r="J72" s="13">
        <v>0.0</v>
      </c>
      <c r="K72" s="9" t="str">
        <f>HYPERLINK("https://mobile.twitter.com","Twitter Web App")</f>
        <v>Twitter Web App</v>
      </c>
      <c r="L72" s="14">
        <v>113.0</v>
      </c>
      <c r="M72" s="14">
        <v>293.0</v>
      </c>
      <c r="N72" s="14">
        <v>0.0</v>
      </c>
      <c r="O72" s="15"/>
      <c r="P72" s="16">
        <v>43528.58238425926</v>
      </c>
      <c r="Q72" s="10" t="s">
        <v>1884</v>
      </c>
      <c r="R72" s="10" t="s">
        <v>1885</v>
      </c>
      <c r="S72" s="12" t="s">
        <v>1886</v>
      </c>
      <c r="T72" s="11"/>
      <c r="U72" s="17" t="str">
        <f>HYPERLINK("https://pbs.twimg.com/profile_images/1352878810211954688/_IR5td5U.jpg","View")</f>
        <v>View</v>
      </c>
      <c r="V72" s="11"/>
      <c r="W72" s="11"/>
      <c r="X72" s="11"/>
      <c r="Y72" s="11"/>
      <c r="Z72" s="11"/>
    </row>
    <row r="73">
      <c r="A73" s="8">
        <v>44222.45006944444</v>
      </c>
      <c r="B73" s="9" t="str">
        <f>HYPERLINK("https://twitter.com/casasietelobos","@casasietelobos")</f>
        <v>@casasietelobos</v>
      </c>
      <c r="C73" s="10" t="s">
        <v>1887</v>
      </c>
      <c r="D73" s="10" t="s">
        <v>1888</v>
      </c>
      <c r="E73" s="9" t="str">
        <f>HYPERLINK("https://twitter.com/casasietelobos/status/1354139064128196610","1354139064128196610")</f>
        <v>1354139064128196610</v>
      </c>
      <c r="F73" s="12" t="s">
        <v>1889</v>
      </c>
      <c r="G73" s="12" t="s">
        <v>1890</v>
      </c>
      <c r="H73" s="11"/>
      <c r="I73" s="13">
        <v>0.0</v>
      </c>
      <c r="J73" s="13">
        <v>0.0</v>
      </c>
      <c r="K73" s="9" t="str">
        <f t="shared" ref="K73:K75" si="16">HYPERLINK("http://twitter.com/download/iphone","Twitter for iPhone")</f>
        <v>Twitter for iPhone</v>
      </c>
      <c r="L73" s="14">
        <v>810.0</v>
      </c>
      <c r="M73" s="14">
        <v>2117.0</v>
      </c>
      <c r="N73" s="14">
        <v>0.0</v>
      </c>
      <c r="O73" s="15"/>
      <c r="P73" s="16">
        <v>44174.43556712963</v>
      </c>
      <c r="Q73" s="11"/>
      <c r="R73" s="10" t="s">
        <v>1891</v>
      </c>
      <c r="S73" s="11"/>
      <c r="T73" s="11"/>
      <c r="U73" s="17" t="str">
        <f>HYPERLINK("https://pbs.twimg.com/profile_images/1339332669415493638/Ei7Y7J8J.jpg","View")</f>
        <v>View</v>
      </c>
      <c r="V73" s="11"/>
      <c r="W73" s="11"/>
      <c r="X73" s="11"/>
      <c r="Y73" s="11"/>
      <c r="Z73" s="11"/>
    </row>
    <row r="74">
      <c r="A74" s="8">
        <v>44222.44951388889</v>
      </c>
      <c r="B74" s="9" t="str">
        <f>HYPERLINK("https://twitter.com/mariaschezzzz","@mariaschezzzz")</f>
        <v>@mariaschezzzz</v>
      </c>
      <c r="C74" s="10" t="s">
        <v>1892</v>
      </c>
      <c r="D74" s="10" t="s">
        <v>1893</v>
      </c>
      <c r="E74" s="9" t="str">
        <f>HYPERLINK("https://twitter.com/mariaschezzzz/status/1354138864747741188","1354138864747741188")</f>
        <v>1354138864747741188</v>
      </c>
      <c r="F74" s="11"/>
      <c r="G74" s="11"/>
      <c r="H74" s="11"/>
      <c r="I74" s="13">
        <v>0.0</v>
      </c>
      <c r="J74" s="13">
        <v>1.0</v>
      </c>
      <c r="K74" s="9" t="str">
        <f t="shared" si="16"/>
        <v>Twitter for iPhone</v>
      </c>
      <c r="L74" s="14">
        <v>178.0</v>
      </c>
      <c r="M74" s="14">
        <v>165.0</v>
      </c>
      <c r="N74" s="14">
        <v>0.0</v>
      </c>
      <c r="O74" s="15"/>
      <c r="P74" s="16">
        <v>43373.26771990741</v>
      </c>
      <c r="Q74" s="10" t="s">
        <v>1877</v>
      </c>
      <c r="R74" s="10" t="s">
        <v>1894</v>
      </c>
      <c r="S74" s="11"/>
      <c r="T74" s="11"/>
      <c r="U74" s="17" t="str">
        <f>HYPERLINK("https://pbs.twimg.com/profile_images/1315577401045385216/bA2049zi.jpg","View")</f>
        <v>View</v>
      </c>
      <c r="V74" s="11"/>
      <c r="W74" s="11"/>
      <c r="X74" s="11"/>
      <c r="Y74" s="11"/>
      <c r="Z74" s="11"/>
    </row>
    <row r="75">
      <c r="A75" s="8">
        <v>44222.44880787037</v>
      </c>
      <c r="B75" s="9" t="str">
        <f>HYPERLINK("https://twitter.com/analovedizi","@analovedizi")</f>
        <v>@analovedizi</v>
      </c>
      <c r="C75" s="10" t="s">
        <v>1895</v>
      </c>
      <c r="D75" s="10" t="s">
        <v>1896</v>
      </c>
      <c r="E75" s="9" t="str">
        <f>HYPERLINK("https://twitter.com/analovedizi/status/1354138608865861637","1354138608865861637")</f>
        <v>1354138608865861637</v>
      </c>
      <c r="F75" s="11"/>
      <c r="G75" s="11"/>
      <c r="H75" s="11"/>
      <c r="I75" s="13">
        <v>0.0</v>
      </c>
      <c r="J75" s="13">
        <v>0.0</v>
      </c>
      <c r="K75" s="9" t="str">
        <f t="shared" si="16"/>
        <v>Twitter for iPhone</v>
      </c>
      <c r="L75" s="14">
        <v>276.0</v>
      </c>
      <c r="M75" s="14">
        <v>297.0</v>
      </c>
      <c r="N75" s="14">
        <v>0.0</v>
      </c>
      <c r="O75" s="15"/>
      <c r="P75" s="16">
        <v>44149.35990740741</v>
      </c>
      <c r="Q75" s="11"/>
      <c r="R75" s="10" t="s">
        <v>1897</v>
      </c>
      <c r="S75" s="11"/>
      <c r="T75" s="11"/>
      <c r="U75" s="17" t="str">
        <f>HYPERLINK("https://pbs.twimg.com/profile_images/1353741718353555457/BHsP96yJ.jpg","View")</f>
        <v>View</v>
      </c>
      <c r="V75" s="11"/>
      <c r="W75" s="11"/>
      <c r="X75" s="11"/>
      <c r="Y75" s="11"/>
      <c r="Z75" s="11"/>
    </row>
    <row r="76">
      <c r="A76" s="8">
        <v>44222.44872685186</v>
      </c>
      <c r="B76" s="9" t="str">
        <f>HYPERLINK("https://twitter.com/will2_2004","@will2_2004")</f>
        <v>@will2_2004</v>
      </c>
      <c r="C76" s="10" t="s">
        <v>1898</v>
      </c>
      <c r="D76" s="10" t="s">
        <v>1899</v>
      </c>
      <c r="E76" s="9" t="str">
        <f>HYPERLINK("https://twitter.com/will2_2004/status/1354138578306158593","1354138578306158593")</f>
        <v>1354138578306158593</v>
      </c>
      <c r="F76" s="11"/>
      <c r="G76" s="12" t="s">
        <v>1900</v>
      </c>
      <c r="H76" s="11"/>
      <c r="I76" s="13">
        <v>0.0</v>
      </c>
      <c r="J76" s="13">
        <v>0.0</v>
      </c>
      <c r="K76" s="9" t="str">
        <f>HYPERLINK("https://mobile.twitter.com","Twitter Web App")</f>
        <v>Twitter Web App</v>
      </c>
      <c r="L76" s="14">
        <v>295.0</v>
      </c>
      <c r="M76" s="14">
        <v>427.0</v>
      </c>
      <c r="N76" s="14">
        <v>0.0</v>
      </c>
      <c r="O76" s="15"/>
      <c r="P76" s="16">
        <v>43836.74493055556</v>
      </c>
      <c r="Q76" s="11"/>
      <c r="R76" s="11"/>
      <c r="S76" s="11"/>
      <c r="T76" s="11"/>
      <c r="U76" s="17" t="str">
        <f>HYPERLINK("https://pbs.twimg.com/profile_images/1313573265101725699/C5e8UOBP.jpg","View")</f>
        <v>View</v>
      </c>
      <c r="V76" s="11"/>
      <c r="W76" s="11"/>
      <c r="X76" s="11"/>
      <c r="Y76" s="11"/>
      <c r="Z76" s="11"/>
    </row>
    <row r="77">
      <c r="A77" s="8">
        <v>44222.44679398148</v>
      </c>
      <c r="B77" s="9" t="str">
        <f>HYPERLINK("https://twitter.com/shethebrave28","@shethebrave28")</f>
        <v>@shethebrave28</v>
      </c>
      <c r="C77" s="10" t="s">
        <v>1901</v>
      </c>
      <c r="D77" s="10" t="s">
        <v>1902</v>
      </c>
      <c r="E77" s="9" t="str">
        <f>HYPERLINK("https://twitter.com/shethebrave28/status/1354137879962771456","1354137879962771456")</f>
        <v>1354137879962771456</v>
      </c>
      <c r="F77" s="12" t="s">
        <v>1903</v>
      </c>
      <c r="G77" s="11"/>
      <c r="H77" s="11"/>
      <c r="I77" s="13">
        <v>0.0</v>
      </c>
      <c r="J77" s="13">
        <v>0.0</v>
      </c>
      <c r="K77" s="9" t="str">
        <f>HYPERLINK("http://twitter.com/download/android","Twitter for Android")</f>
        <v>Twitter for Android</v>
      </c>
      <c r="L77" s="14">
        <v>520.0</v>
      </c>
      <c r="M77" s="14">
        <v>571.0</v>
      </c>
      <c r="N77" s="14">
        <v>9.0</v>
      </c>
      <c r="O77" s="15"/>
      <c r="P77" s="16">
        <v>44074.78908564815</v>
      </c>
      <c r="Q77" s="10" t="s">
        <v>1904</v>
      </c>
      <c r="R77" s="10" t="s">
        <v>1905</v>
      </c>
      <c r="S77" s="12" t="s">
        <v>1906</v>
      </c>
      <c r="T77" s="11"/>
      <c r="U77" s="17" t="str">
        <f>HYPERLINK("https://pbs.twimg.com/profile_images/1353717357047390225/k1eeXhP6.jpg","View")</f>
        <v>View</v>
      </c>
      <c r="V77" s="11"/>
      <c r="W77" s="11"/>
      <c r="X77" s="11"/>
      <c r="Y77" s="11"/>
      <c r="Z77" s="11"/>
    </row>
    <row r="78">
      <c r="A78" s="8">
        <v>44222.4440625</v>
      </c>
      <c r="B78" s="9" t="str">
        <f>HYPERLINK("https://twitter.com/ItaloargentoYo","@ItaloargentoYo")</f>
        <v>@ItaloargentoYo</v>
      </c>
      <c r="C78" s="10" t="s">
        <v>1907</v>
      </c>
      <c r="D78" s="10" t="s">
        <v>1908</v>
      </c>
      <c r="E78" s="9" t="str">
        <f>HYPERLINK("https://twitter.com/ItaloargentoYo/status/1354136889570316288","1354136889570316288")</f>
        <v>1354136889570316288</v>
      </c>
      <c r="F78" s="12" t="s">
        <v>1909</v>
      </c>
      <c r="G78" s="12" t="s">
        <v>1910</v>
      </c>
      <c r="H78" s="11"/>
      <c r="I78" s="13">
        <v>0.0</v>
      </c>
      <c r="J78" s="13">
        <v>1.0</v>
      </c>
      <c r="K78" s="9" t="str">
        <f>HYPERLINK("https://mobile.twitter.com","Twitter Web App")</f>
        <v>Twitter Web App</v>
      </c>
      <c r="L78" s="14">
        <v>575.0</v>
      </c>
      <c r="M78" s="14">
        <v>1891.0</v>
      </c>
      <c r="N78" s="14">
        <v>8.0</v>
      </c>
      <c r="O78" s="15"/>
      <c r="P78" s="16">
        <v>40706.594814814816</v>
      </c>
      <c r="Q78" s="10" t="s">
        <v>753</v>
      </c>
      <c r="R78" s="10" t="s">
        <v>1911</v>
      </c>
      <c r="S78" s="11"/>
      <c r="T78" s="11"/>
      <c r="U78" s="17" t="str">
        <f>HYPERLINK("https://pbs.twimg.com/profile_images/1393162363/Laurens__320x200_.png","View")</f>
        <v>View</v>
      </c>
      <c r="V78" s="11"/>
      <c r="W78" s="11"/>
      <c r="X78" s="11"/>
      <c r="Y78" s="11"/>
      <c r="Z78" s="11"/>
    </row>
    <row r="79">
      <c r="A79" s="8">
        <v>44222.443240740744</v>
      </c>
      <c r="B79" s="9" t="str">
        <f>HYPERLINK("https://twitter.com/carlxcardenas_","@carlxcardenas_")</f>
        <v>@carlxcardenas_</v>
      </c>
      <c r="C79" s="10" t="s">
        <v>1912</v>
      </c>
      <c r="D79" s="10" t="s">
        <v>1913</v>
      </c>
      <c r="E79" s="9" t="str">
        <f>HYPERLINK("https://twitter.com/carlxcardenas_/status/1354136590835216385","1354136590835216385")</f>
        <v>1354136590835216385</v>
      </c>
      <c r="F79" s="11"/>
      <c r="G79" s="11"/>
      <c r="H79" s="11"/>
      <c r="I79" s="13">
        <v>0.0</v>
      </c>
      <c r="J79" s="13">
        <v>0.0</v>
      </c>
      <c r="K79" s="9" t="str">
        <f>HYPERLINK("http://twitter.com/download/android","Twitter for Android")</f>
        <v>Twitter for Android</v>
      </c>
      <c r="L79" s="14">
        <v>1771.0</v>
      </c>
      <c r="M79" s="14">
        <v>1707.0</v>
      </c>
      <c r="N79" s="14">
        <v>17.0</v>
      </c>
      <c r="O79" s="15"/>
      <c r="P79" s="16">
        <v>43310.1180787037</v>
      </c>
      <c r="Q79" s="10" t="s">
        <v>1914</v>
      </c>
      <c r="R79" s="10" t="s">
        <v>1915</v>
      </c>
      <c r="S79" s="11"/>
      <c r="T79" s="11"/>
      <c r="U79" s="17" t="str">
        <f>HYPERLINK("https://pbs.twimg.com/profile_images/1353420543534444546/Qa0dCV9k.jpg","View")</f>
        <v>View</v>
      </c>
      <c r="V79" s="11"/>
      <c r="W79" s="11"/>
      <c r="X79" s="11"/>
      <c r="Y79" s="11"/>
      <c r="Z79" s="11"/>
    </row>
    <row r="80">
      <c r="A80" s="8">
        <v>44222.442152777774</v>
      </c>
      <c r="B80" s="9" t="str">
        <f>HYPERLINK("https://twitter.com/cigarttslouis","@cigarttslouis")</f>
        <v>@cigarttslouis</v>
      </c>
      <c r="C80" s="10" t="s">
        <v>1916</v>
      </c>
      <c r="D80" s="10" t="s">
        <v>1917</v>
      </c>
      <c r="E80" s="9" t="str">
        <f>HYPERLINK("https://twitter.com/cigarttslouis/status/1354136194347630593","1354136194347630593")</f>
        <v>1354136194347630593</v>
      </c>
      <c r="F80" s="11"/>
      <c r="G80" s="11"/>
      <c r="H80" s="11"/>
      <c r="I80" s="13">
        <v>0.0</v>
      </c>
      <c r="J80" s="13">
        <v>0.0</v>
      </c>
      <c r="K80" s="9" t="str">
        <f>HYPERLINK("http://twitter.com/download/iphone","Twitter for iPhone")</f>
        <v>Twitter for iPhone</v>
      </c>
      <c r="L80" s="14">
        <v>12472.0</v>
      </c>
      <c r="M80" s="14">
        <v>987.0</v>
      </c>
      <c r="N80" s="14">
        <v>58.0</v>
      </c>
      <c r="O80" s="15"/>
      <c r="P80" s="16">
        <v>40934.45039351852</v>
      </c>
      <c r="Q80" s="10" t="s">
        <v>1918</v>
      </c>
      <c r="R80" s="10" t="s">
        <v>1919</v>
      </c>
      <c r="S80" s="11"/>
      <c r="T80" s="11"/>
      <c r="U80" s="17" t="str">
        <f>HYPERLINK("https://pbs.twimg.com/profile_images/1344127883300761601/4xXX2ZOr.jpg","View")</f>
        <v>View</v>
      </c>
      <c r="V80" s="11"/>
      <c r="W80" s="11"/>
      <c r="X80" s="11"/>
      <c r="Y80" s="11"/>
      <c r="Z80" s="11"/>
    </row>
    <row r="81">
      <c r="A81" s="8">
        <v>44222.442141203705</v>
      </c>
      <c r="B81" s="9" t="str">
        <f>HYPERLINK("https://twitter.com/wilmergheronimo","@wilmergheronimo")</f>
        <v>@wilmergheronimo</v>
      </c>
      <c r="C81" s="10" t="s">
        <v>1920</v>
      </c>
      <c r="D81" s="10" t="s">
        <v>1921</v>
      </c>
      <c r="E81" s="9" t="str">
        <f>HYPERLINK("https://twitter.com/wilmergheronimo/status/1354136192342700032","1354136192342700032")</f>
        <v>1354136192342700032</v>
      </c>
      <c r="F81" s="12" t="s">
        <v>1922</v>
      </c>
      <c r="G81" s="12" t="s">
        <v>1923</v>
      </c>
      <c r="H81" s="11"/>
      <c r="I81" s="13">
        <v>0.0</v>
      </c>
      <c r="J81" s="13">
        <v>0.0</v>
      </c>
      <c r="K81" s="9" t="str">
        <f>HYPERLINK("http://twitter.com/download/android","Twitter for Android")</f>
        <v>Twitter for Android</v>
      </c>
      <c r="L81" s="14">
        <v>372.0</v>
      </c>
      <c r="M81" s="14">
        <v>492.0</v>
      </c>
      <c r="N81" s="14">
        <v>0.0</v>
      </c>
      <c r="O81" s="15"/>
      <c r="P81" s="16">
        <v>43391.85288194445</v>
      </c>
      <c r="Q81" s="10" t="s">
        <v>1924</v>
      </c>
      <c r="R81" s="10" t="s">
        <v>1924</v>
      </c>
      <c r="S81" s="11"/>
      <c r="T81" s="11"/>
      <c r="U81" s="17" t="str">
        <f>HYPERLINK("https://pbs.twimg.com/profile_images/1354136637022863363/X4e39IB8.jpg","View")</f>
        <v>View</v>
      </c>
      <c r="V81" s="11"/>
      <c r="W81" s="11"/>
      <c r="X81" s="11"/>
      <c r="Y81" s="11"/>
      <c r="Z81" s="11"/>
    </row>
    <row r="82">
      <c r="A82" s="8">
        <v>44222.44128472223</v>
      </c>
      <c r="B82" s="9" t="str">
        <f>HYPERLINK("https://twitter.com/_aailatann","@_aailatann")</f>
        <v>@_aailatann</v>
      </c>
      <c r="C82" s="10" t="s">
        <v>1925</v>
      </c>
      <c r="D82" s="10" t="s">
        <v>1926</v>
      </c>
      <c r="E82" s="9" t="str">
        <f>HYPERLINK("https://twitter.com/_aailatann/status/1354135881645436930","1354135881645436930")</f>
        <v>1354135881645436930</v>
      </c>
      <c r="F82" s="11"/>
      <c r="G82" s="11"/>
      <c r="H82" s="11"/>
      <c r="I82" s="13">
        <v>0.0</v>
      </c>
      <c r="J82" s="13">
        <v>0.0</v>
      </c>
      <c r="K82" s="9" t="str">
        <f>HYPERLINK("http://twitter.com/download/iphone","Twitter for iPhone")</f>
        <v>Twitter for iPhone</v>
      </c>
      <c r="L82" s="14">
        <v>174.0</v>
      </c>
      <c r="M82" s="14">
        <v>336.0</v>
      </c>
      <c r="N82" s="14">
        <v>0.0</v>
      </c>
      <c r="O82" s="15"/>
      <c r="P82" s="16">
        <v>42806.73563657407</v>
      </c>
      <c r="Q82" s="11"/>
      <c r="R82" s="10" t="s">
        <v>1927</v>
      </c>
      <c r="S82" s="11"/>
      <c r="T82" s="11"/>
      <c r="U82" s="17" t="str">
        <f>HYPERLINK("https://pbs.twimg.com/profile_images/1315853466158403585/XbpoBr6f.jpg","View")</f>
        <v>View</v>
      </c>
      <c r="V82" s="11"/>
      <c r="W82" s="11"/>
      <c r="X82" s="11"/>
      <c r="Y82" s="11"/>
      <c r="Z82" s="11"/>
    </row>
    <row r="83">
      <c r="A83" s="8">
        <v>44222.44045138889</v>
      </c>
      <c r="B83" s="9" t="str">
        <f>HYPERLINK("https://twitter.com/CastrejonYasmin","@CastrejonYasmin")</f>
        <v>@CastrejonYasmin</v>
      </c>
      <c r="C83" s="10" t="s">
        <v>1928</v>
      </c>
      <c r="D83" s="10" t="s">
        <v>1929</v>
      </c>
      <c r="E83" s="9" t="str">
        <f>HYPERLINK("https://twitter.com/CastrejonYasmin/status/1354135579525603329","1354135579525603329")</f>
        <v>1354135579525603329</v>
      </c>
      <c r="F83" s="12" t="s">
        <v>1930</v>
      </c>
      <c r="G83" s="11"/>
      <c r="H83" s="11"/>
      <c r="I83" s="13">
        <v>1.0</v>
      </c>
      <c r="J83" s="13">
        <v>4.0</v>
      </c>
      <c r="K83" s="9" t="str">
        <f t="shared" ref="K83:K88" si="17">HYPERLINK("http://twitter.com/download/android","Twitter for Android")</f>
        <v>Twitter for Android</v>
      </c>
      <c r="L83" s="14">
        <v>57.0</v>
      </c>
      <c r="M83" s="14">
        <v>311.0</v>
      </c>
      <c r="N83" s="14">
        <v>1.0</v>
      </c>
      <c r="O83" s="15"/>
      <c r="P83" s="16">
        <v>42846.58960648148</v>
      </c>
      <c r="Q83" s="10" t="s">
        <v>905</v>
      </c>
      <c r="R83" s="10" t="s">
        <v>1931</v>
      </c>
      <c r="S83" s="11"/>
      <c r="T83" s="11"/>
      <c r="U83" s="17" t="str">
        <f>HYPERLINK("https://pbs.twimg.com/profile_images/1333273803623948289/WyiDg_By.jpg","View")</f>
        <v>View</v>
      </c>
      <c r="V83" s="11"/>
      <c r="W83" s="11"/>
      <c r="X83" s="11"/>
      <c r="Y83" s="11"/>
      <c r="Z83" s="11"/>
    </row>
    <row r="84">
      <c r="A84" s="8">
        <v>44222.44024305556</v>
      </c>
      <c r="B84" s="9" t="str">
        <f>HYPERLINK("https://twitter.com/gxbrxxlxgxl","@gxbrxxlxgxl")</f>
        <v>@gxbrxxlxgxl</v>
      </c>
      <c r="C84" s="10" t="s">
        <v>1932</v>
      </c>
      <c r="D84" s="10" t="s">
        <v>1933</v>
      </c>
      <c r="E84" s="9" t="str">
        <f>HYPERLINK("https://twitter.com/gxbrxxlxgxl/status/1354135505286402053","1354135505286402053")</f>
        <v>1354135505286402053</v>
      </c>
      <c r="F84" s="11"/>
      <c r="G84" s="11"/>
      <c r="H84" s="11"/>
      <c r="I84" s="13">
        <v>2.0</v>
      </c>
      <c r="J84" s="13">
        <v>9.0</v>
      </c>
      <c r="K84" s="9" t="str">
        <f t="shared" si="17"/>
        <v>Twitter for Android</v>
      </c>
      <c r="L84" s="14">
        <v>456.0</v>
      </c>
      <c r="M84" s="14">
        <v>203.0</v>
      </c>
      <c r="N84" s="14">
        <v>1.0</v>
      </c>
      <c r="O84" s="15"/>
      <c r="P84" s="16">
        <v>43480.93680555555</v>
      </c>
      <c r="Q84" s="11"/>
      <c r="R84" s="11"/>
      <c r="S84" s="12" t="s">
        <v>1934</v>
      </c>
      <c r="T84" s="11"/>
      <c r="U84" s="17" t="str">
        <f>HYPERLINK("https://pbs.twimg.com/profile_images/1351721011859881985/1cgxErG5.jpg","View")</f>
        <v>View</v>
      </c>
      <c r="V84" s="11"/>
      <c r="W84" s="11"/>
      <c r="X84" s="11"/>
      <c r="Y84" s="11"/>
      <c r="Z84" s="11"/>
    </row>
    <row r="85">
      <c r="A85" s="8">
        <v>44222.43555555555</v>
      </c>
      <c r="B85" s="9" t="str">
        <f>HYPERLINK("https://twitter.com/Catalupe_","@Catalupe_")</f>
        <v>@Catalupe_</v>
      </c>
      <c r="C85" s="10" t="s">
        <v>1935</v>
      </c>
      <c r="D85" s="10" t="s">
        <v>1936</v>
      </c>
      <c r="E85" s="9" t="str">
        <f>HYPERLINK("https://twitter.com/Catalupe_/status/1354133805276258309","1354133805276258309")</f>
        <v>1354133805276258309</v>
      </c>
      <c r="F85" s="11"/>
      <c r="G85" s="11"/>
      <c r="H85" s="11"/>
      <c r="I85" s="13">
        <v>0.0</v>
      </c>
      <c r="J85" s="13">
        <v>0.0</v>
      </c>
      <c r="K85" s="9" t="str">
        <f t="shared" si="17"/>
        <v>Twitter for Android</v>
      </c>
      <c r="L85" s="14">
        <v>558.0</v>
      </c>
      <c r="M85" s="14">
        <v>451.0</v>
      </c>
      <c r="N85" s="14">
        <v>0.0</v>
      </c>
      <c r="O85" s="15"/>
      <c r="P85" s="16">
        <v>40635.374386574076</v>
      </c>
      <c r="Q85" s="10" t="s">
        <v>1937</v>
      </c>
      <c r="R85" s="10" t="s">
        <v>1938</v>
      </c>
      <c r="S85" s="11"/>
      <c r="T85" s="11"/>
      <c r="U85" s="17" t="str">
        <f>HYPERLINK("https://pbs.twimg.com/profile_images/1227403945775157248/b_A5to5S.jpg","View")</f>
        <v>View</v>
      </c>
      <c r="V85" s="11"/>
      <c r="W85" s="11"/>
      <c r="X85" s="11"/>
      <c r="Y85" s="11"/>
      <c r="Z85" s="11"/>
    </row>
    <row r="86">
      <c r="A86" s="8">
        <v>44222.43546296297</v>
      </c>
      <c r="B86" s="9" t="str">
        <f>HYPERLINK("https://twitter.com/Luismar05744781","@Luismar05744781")</f>
        <v>@Luismar05744781</v>
      </c>
      <c r="C86" s="10" t="s">
        <v>1939</v>
      </c>
      <c r="D86" s="10" t="s">
        <v>1940</v>
      </c>
      <c r="E86" s="9" t="str">
        <f>HYPERLINK("https://twitter.com/Luismar05744781/status/1354133771780567040","1354133771780567040")</f>
        <v>1354133771780567040</v>
      </c>
      <c r="F86" s="10" t="s">
        <v>1941</v>
      </c>
      <c r="G86" s="11"/>
      <c r="H86" s="11"/>
      <c r="I86" s="13">
        <v>0.0</v>
      </c>
      <c r="J86" s="13">
        <v>0.0</v>
      </c>
      <c r="K86" s="9" t="str">
        <f t="shared" si="17"/>
        <v>Twitter for Android</v>
      </c>
      <c r="L86" s="14">
        <v>122.0</v>
      </c>
      <c r="M86" s="14">
        <v>360.0</v>
      </c>
      <c r="N86" s="14">
        <v>0.0</v>
      </c>
      <c r="O86" s="15"/>
      <c r="P86" s="16">
        <v>44129.574375</v>
      </c>
      <c r="Q86" s="11"/>
      <c r="R86" s="10" t="s">
        <v>1942</v>
      </c>
      <c r="S86" s="11"/>
      <c r="T86" s="11"/>
      <c r="U86" s="17" t="str">
        <f>HYPERLINK("https://pbs.twimg.com/profile_images/1320467261338144770/o4JuZK0O.jpg","View")</f>
        <v>View</v>
      </c>
      <c r="V86" s="11"/>
      <c r="W86" s="11"/>
      <c r="X86" s="11"/>
      <c r="Y86" s="11"/>
      <c r="Z86" s="11"/>
    </row>
    <row r="87">
      <c r="A87" s="8">
        <v>44222.43417824074</v>
      </c>
      <c r="B87" s="9" t="str">
        <f>HYPERLINK("https://twitter.com/amayachulia","@amayachulia")</f>
        <v>@amayachulia</v>
      </c>
      <c r="C87" s="10" t="s">
        <v>1943</v>
      </c>
      <c r="D87" s="10" t="s">
        <v>1944</v>
      </c>
      <c r="E87" s="9" t="str">
        <f>HYPERLINK("https://twitter.com/amayachulia/status/1354133306263134210","1354133306263134210")</f>
        <v>1354133306263134210</v>
      </c>
      <c r="F87" s="11"/>
      <c r="G87" s="11"/>
      <c r="H87" s="11"/>
      <c r="I87" s="13">
        <v>0.0</v>
      </c>
      <c r="J87" s="13">
        <v>0.0</v>
      </c>
      <c r="K87" s="9" t="str">
        <f t="shared" si="17"/>
        <v>Twitter for Android</v>
      </c>
      <c r="L87" s="14">
        <v>1193.0</v>
      </c>
      <c r="M87" s="14">
        <v>1026.0</v>
      </c>
      <c r="N87" s="14">
        <v>5.0</v>
      </c>
      <c r="O87" s="15"/>
      <c r="P87" s="16">
        <v>42594.44262731481</v>
      </c>
      <c r="Q87" s="10" t="s">
        <v>1480</v>
      </c>
      <c r="R87" s="10" t="s">
        <v>1945</v>
      </c>
      <c r="S87" s="12" t="s">
        <v>1946</v>
      </c>
      <c r="T87" s="11"/>
      <c r="U87" s="17" t="str">
        <f>HYPERLINK("https://pbs.twimg.com/profile_images/1353143700021522432/0J335_5g.jpg","View")</f>
        <v>View</v>
      </c>
      <c r="V87" s="11"/>
      <c r="W87" s="11"/>
      <c r="X87" s="11"/>
      <c r="Y87" s="11"/>
      <c r="Z87" s="11"/>
    </row>
    <row r="88">
      <c r="A88" s="8">
        <v>44222.43387731482</v>
      </c>
      <c r="B88" s="9" t="str">
        <f>HYPERLINK("https://twitter.com/darkhun85850402","@darkhun85850402")</f>
        <v>@darkhun85850402</v>
      </c>
      <c r="C88" s="10" t="s">
        <v>1947</v>
      </c>
      <c r="D88" s="10" t="s">
        <v>1948</v>
      </c>
      <c r="E88" s="9" t="str">
        <f>HYPERLINK("https://twitter.com/darkhun85850402/status/1354133199463591936","1354133199463591936")</f>
        <v>1354133199463591936</v>
      </c>
      <c r="F88" s="12" t="s">
        <v>1949</v>
      </c>
      <c r="G88" s="12" t="s">
        <v>1950</v>
      </c>
      <c r="H88" s="11"/>
      <c r="I88" s="13">
        <v>0.0</v>
      </c>
      <c r="J88" s="13">
        <v>1.0</v>
      </c>
      <c r="K88" s="9" t="str">
        <f t="shared" si="17"/>
        <v>Twitter for Android</v>
      </c>
      <c r="L88" s="14">
        <v>476.0</v>
      </c>
      <c r="M88" s="14">
        <v>420.0</v>
      </c>
      <c r="N88" s="14">
        <v>6.0</v>
      </c>
      <c r="O88" s="15"/>
      <c r="P88" s="16">
        <v>43893.46943287037</v>
      </c>
      <c r="Q88" s="10" t="s">
        <v>1951</v>
      </c>
      <c r="R88" s="10" t="s">
        <v>1952</v>
      </c>
      <c r="S88" s="11"/>
      <c r="T88" s="11"/>
      <c r="U88" s="17" t="str">
        <f>HYPERLINK("https://pbs.twimg.com/profile_images/1352229852506681344/Mhqe0iZy.jpg","View")</f>
        <v>View</v>
      </c>
      <c r="V88" s="11"/>
      <c r="W88" s="11"/>
      <c r="X88" s="11"/>
      <c r="Y88" s="11"/>
      <c r="Z88" s="11"/>
    </row>
    <row r="89">
      <c r="A89" s="8">
        <v>44222.43200231482</v>
      </c>
      <c r="B89" s="9" t="str">
        <f>HYPERLINK("https://twitter.com/juanchihernandz","@juanchihernandz")</f>
        <v>@juanchihernandz</v>
      </c>
      <c r="C89" s="10" t="s">
        <v>1953</v>
      </c>
      <c r="D89" s="10" t="s">
        <v>1954</v>
      </c>
      <c r="E89" s="9" t="str">
        <f>HYPERLINK("https://twitter.com/juanchihernandz/status/1354132515859136520","1354132515859136520")</f>
        <v>1354132515859136520</v>
      </c>
      <c r="F89" s="11"/>
      <c r="G89" s="12" t="s">
        <v>1955</v>
      </c>
      <c r="H89" s="11"/>
      <c r="I89" s="13">
        <v>0.0</v>
      </c>
      <c r="J89" s="13">
        <v>1.0</v>
      </c>
      <c r="K89" s="9" t="str">
        <f>HYPERLINK("http://twitter.com/download/iphone","Twitter for iPhone")</f>
        <v>Twitter for iPhone</v>
      </c>
      <c r="L89" s="14">
        <v>1239.0</v>
      </c>
      <c r="M89" s="14">
        <v>1296.0</v>
      </c>
      <c r="N89" s="14">
        <v>4.0</v>
      </c>
      <c r="O89" s="15"/>
      <c r="P89" s="16">
        <v>40961.48751157407</v>
      </c>
      <c r="Q89" s="10" t="s">
        <v>1956</v>
      </c>
      <c r="R89" s="10" t="s">
        <v>1957</v>
      </c>
      <c r="S89" s="12" t="s">
        <v>1958</v>
      </c>
      <c r="T89" s="11"/>
      <c r="U89" s="17" t="str">
        <f>HYPERLINK("https://pbs.twimg.com/profile_images/1301312725117800450/ICzEUNZW.jpg","View")</f>
        <v>View</v>
      </c>
      <c r="V89" s="11"/>
      <c r="W89" s="11"/>
      <c r="X89" s="11"/>
      <c r="Y89" s="11"/>
      <c r="Z89" s="11"/>
    </row>
    <row r="90">
      <c r="A90" s="8">
        <v>44222.431874999995</v>
      </c>
      <c r="B90" s="9" t="str">
        <f>HYPERLINK("https://twitter.com/Ititas","@Ititas")</f>
        <v>@Ititas</v>
      </c>
      <c r="C90" s="10" t="s">
        <v>1959</v>
      </c>
      <c r="D90" s="10" t="s">
        <v>1960</v>
      </c>
      <c r="E90" s="9" t="str">
        <f>HYPERLINK("https://twitter.com/Ititas/status/1354132472284516354","1354132472284516354")</f>
        <v>1354132472284516354</v>
      </c>
      <c r="F90" s="11"/>
      <c r="G90" s="12" t="s">
        <v>1961</v>
      </c>
      <c r="H90" s="11"/>
      <c r="I90" s="13">
        <v>1.0</v>
      </c>
      <c r="J90" s="13">
        <v>1.0</v>
      </c>
      <c r="K90" s="9" t="str">
        <f>HYPERLINK("http://twitter.com/download/android","Twitter for Android")</f>
        <v>Twitter for Android</v>
      </c>
      <c r="L90" s="14">
        <v>397.0</v>
      </c>
      <c r="M90" s="14">
        <v>508.0</v>
      </c>
      <c r="N90" s="14">
        <v>2.0</v>
      </c>
      <c r="O90" s="15"/>
      <c r="P90" s="16">
        <v>40260.674212962964</v>
      </c>
      <c r="Q90" s="10" t="s">
        <v>1962</v>
      </c>
      <c r="R90" s="10" t="s">
        <v>1963</v>
      </c>
      <c r="S90" s="12" t="s">
        <v>1964</v>
      </c>
      <c r="T90" s="11"/>
      <c r="U90" s="17" t="str">
        <f>HYPERLINK("https://pbs.twimg.com/profile_images/412003646675496960/jMX0w1Sr.png","View")</f>
        <v>View</v>
      </c>
      <c r="V90" s="11"/>
      <c r="W90" s="11"/>
      <c r="X90" s="11"/>
      <c r="Y90" s="11"/>
      <c r="Z90" s="11"/>
    </row>
    <row r="91">
      <c r="A91" s="8">
        <v>44222.43164351852</v>
      </c>
      <c r="B91" s="9" t="str">
        <f>HYPERLINK("https://twitter.com/mmmedula","@mmmedula")</f>
        <v>@mmmedula</v>
      </c>
      <c r="C91" s="10" t="s">
        <v>1965</v>
      </c>
      <c r="D91" s="10" t="s">
        <v>1966</v>
      </c>
      <c r="E91" s="9" t="str">
        <f>HYPERLINK("https://twitter.com/mmmedula/status/1354132389253922816","1354132389253922816")</f>
        <v>1354132389253922816</v>
      </c>
      <c r="F91" s="11"/>
      <c r="G91" s="11"/>
      <c r="H91" s="11"/>
      <c r="I91" s="13">
        <v>0.0</v>
      </c>
      <c r="J91" s="13">
        <v>2.0</v>
      </c>
      <c r="K91" s="9" t="str">
        <f>HYPERLINK("http://twitter.com/download/iphone","Twitter for iPhone")</f>
        <v>Twitter for iPhone</v>
      </c>
      <c r="L91" s="14">
        <v>711.0</v>
      </c>
      <c r="M91" s="14">
        <v>386.0</v>
      </c>
      <c r="N91" s="14">
        <v>2.0</v>
      </c>
      <c r="O91" s="15"/>
      <c r="P91" s="16">
        <v>43695.664814814816</v>
      </c>
      <c r="Q91" s="10" t="s">
        <v>1967</v>
      </c>
      <c r="R91" s="10" t="s">
        <v>1968</v>
      </c>
      <c r="S91" s="11"/>
      <c r="T91" s="11"/>
      <c r="U91" s="17" t="str">
        <f>HYPERLINK("https://pbs.twimg.com/profile_images/1318206570203914240/xuD0tFTL.jpg","View")</f>
        <v>View</v>
      </c>
      <c r="V91" s="11"/>
      <c r="W91" s="11"/>
      <c r="X91" s="11"/>
      <c r="Y91" s="11"/>
      <c r="Z91" s="11"/>
    </row>
    <row r="92">
      <c r="A92" s="8">
        <v>44222.431180555555</v>
      </c>
      <c r="B92" s="9" t="str">
        <f>HYPERLINK("https://twitter.com/aorguez07","@aorguez07")</f>
        <v>@aorguez07</v>
      </c>
      <c r="C92" s="10" t="s">
        <v>1969</v>
      </c>
      <c r="D92" s="10" t="s">
        <v>1970</v>
      </c>
      <c r="E92" s="9" t="str">
        <f>HYPERLINK("https://twitter.com/aorguez07/status/1354132220991168512","1354132220991168512")</f>
        <v>1354132220991168512</v>
      </c>
      <c r="F92" s="12" t="s">
        <v>1971</v>
      </c>
      <c r="G92" s="12" t="s">
        <v>1972</v>
      </c>
      <c r="H92" s="11"/>
      <c r="I92" s="13">
        <v>3.0</v>
      </c>
      <c r="J92" s="13">
        <v>4.0</v>
      </c>
      <c r="K92" s="9" t="str">
        <f t="shared" ref="K92:K94" si="18">HYPERLINK("http://twitter.com/download/android","Twitter for Android")</f>
        <v>Twitter for Android</v>
      </c>
      <c r="L92" s="14">
        <v>1487.0</v>
      </c>
      <c r="M92" s="14">
        <v>1430.0</v>
      </c>
      <c r="N92" s="14">
        <v>2.0</v>
      </c>
      <c r="O92" s="15"/>
      <c r="P92" s="16">
        <v>43773.842303240745</v>
      </c>
      <c r="Q92" s="10" t="s">
        <v>55</v>
      </c>
      <c r="R92" s="10" t="s">
        <v>1973</v>
      </c>
      <c r="S92" s="11"/>
      <c r="T92" s="11"/>
      <c r="U92" s="17" t="str">
        <f>HYPERLINK("https://pbs.twimg.com/profile_images/1290462118345453568/96lRqBMI.jpg","View")</f>
        <v>View</v>
      </c>
      <c r="V92" s="11"/>
      <c r="W92" s="11"/>
      <c r="X92" s="11"/>
      <c r="Y92" s="11"/>
      <c r="Z92" s="11"/>
    </row>
    <row r="93">
      <c r="A93" s="8">
        <v>44222.43101851852</v>
      </c>
      <c r="B93" s="9" t="str">
        <f>HYPERLINK("https://twitter.com/Kaculuquillam","@Kaculuquillam")</f>
        <v>@Kaculuquillam</v>
      </c>
      <c r="C93" s="10" t="s">
        <v>1974</v>
      </c>
      <c r="D93" s="10" t="s">
        <v>1975</v>
      </c>
      <c r="E93" s="9" t="str">
        <f>HYPERLINK("https://twitter.com/Kaculuquillam/status/1354132159796277251","1354132159796277251")</f>
        <v>1354132159796277251</v>
      </c>
      <c r="F93" s="11"/>
      <c r="G93" s="11"/>
      <c r="H93" s="11"/>
      <c r="I93" s="13">
        <v>1.0</v>
      </c>
      <c r="J93" s="13">
        <v>1.0</v>
      </c>
      <c r="K93" s="9" t="str">
        <f t="shared" si="18"/>
        <v>Twitter for Android</v>
      </c>
      <c r="L93" s="14">
        <v>159.0</v>
      </c>
      <c r="M93" s="14">
        <v>131.0</v>
      </c>
      <c r="N93" s="14">
        <v>12.0</v>
      </c>
      <c r="O93" s="15"/>
      <c r="P93" s="16">
        <v>40401.32319444444</v>
      </c>
      <c r="Q93" s="10" t="s">
        <v>1976</v>
      </c>
      <c r="R93" s="10" t="s">
        <v>1977</v>
      </c>
      <c r="S93" s="12" t="s">
        <v>1978</v>
      </c>
      <c r="T93" s="11"/>
      <c r="U93" s="17" t="str">
        <f>HYPERLINK("https://pbs.twimg.com/profile_images/1354133055045324802/8HuStfx-.jpg","View")</f>
        <v>View</v>
      </c>
      <c r="V93" s="11"/>
      <c r="W93" s="11"/>
      <c r="X93" s="11"/>
      <c r="Y93" s="11"/>
      <c r="Z93" s="11"/>
    </row>
    <row r="94">
      <c r="A94" s="8">
        <v>44222.43011574074</v>
      </c>
      <c r="B94" s="9" t="str">
        <f>HYPERLINK("https://twitter.com/fullmoonchild_7","@fullmoonchild_7")</f>
        <v>@fullmoonchild_7</v>
      </c>
      <c r="C94" s="10" t="s">
        <v>1979</v>
      </c>
      <c r="D94" s="10" t="s">
        <v>1980</v>
      </c>
      <c r="E94" s="9" t="str">
        <f>HYPERLINK("https://twitter.com/fullmoonchild_7/status/1354131834528002049","1354131834528002049")</f>
        <v>1354131834528002049</v>
      </c>
      <c r="F94" s="11"/>
      <c r="G94" s="12" t="s">
        <v>1981</v>
      </c>
      <c r="H94" s="11"/>
      <c r="I94" s="13">
        <v>0.0</v>
      </c>
      <c r="J94" s="13">
        <v>2.0</v>
      </c>
      <c r="K94" s="9" t="str">
        <f t="shared" si="18"/>
        <v>Twitter for Android</v>
      </c>
      <c r="L94" s="14">
        <v>111.0</v>
      </c>
      <c r="M94" s="14">
        <v>272.0</v>
      </c>
      <c r="N94" s="14">
        <v>4.0</v>
      </c>
      <c r="O94" s="15"/>
      <c r="P94" s="16">
        <v>43886.347407407404</v>
      </c>
      <c r="Q94" s="10" t="s">
        <v>515</v>
      </c>
      <c r="R94" s="10" t="s">
        <v>1982</v>
      </c>
      <c r="S94" s="12" t="s">
        <v>1983</v>
      </c>
      <c r="T94" s="11"/>
      <c r="U94" s="17" t="str">
        <f>HYPERLINK("https://pbs.twimg.com/profile_images/1350449798902644738/ajh_a6R9.jpg","View")</f>
        <v>View</v>
      </c>
      <c r="V94" s="11"/>
      <c r="W94" s="11"/>
      <c r="X94" s="11"/>
      <c r="Y94" s="11"/>
      <c r="Z94" s="11"/>
    </row>
    <row r="95">
      <c r="A95" s="8">
        <v>44222.429756944446</v>
      </c>
      <c r="B95" s="9" t="str">
        <f>HYPERLINK("https://twitter.com/Mireeeela17_","@Mireeeela17_")</f>
        <v>@Mireeeela17_</v>
      </c>
      <c r="C95" s="10" t="s">
        <v>1984</v>
      </c>
      <c r="D95" s="10" t="s">
        <v>1985</v>
      </c>
      <c r="E95" s="9" t="str">
        <f>HYPERLINK("https://twitter.com/Mireeeela17_/status/1354131702654914560","1354131702654914560")</f>
        <v>1354131702654914560</v>
      </c>
      <c r="F95" s="12" t="s">
        <v>1986</v>
      </c>
      <c r="G95" s="11"/>
      <c r="H95" s="11"/>
      <c r="I95" s="13">
        <v>0.0</v>
      </c>
      <c r="J95" s="13">
        <v>0.0</v>
      </c>
      <c r="K95" s="9" t="str">
        <f>HYPERLINK("http://twitter.com/download/iphone","Twitter for iPhone")</f>
        <v>Twitter for iPhone</v>
      </c>
      <c r="L95" s="14">
        <v>1133.0</v>
      </c>
      <c r="M95" s="14">
        <v>503.0</v>
      </c>
      <c r="N95" s="14">
        <v>0.0</v>
      </c>
      <c r="O95" s="15"/>
      <c r="P95" s="16">
        <v>41531.521157407406</v>
      </c>
      <c r="Q95" s="10" t="s">
        <v>1987</v>
      </c>
      <c r="R95" s="11"/>
      <c r="S95" s="12" t="s">
        <v>1988</v>
      </c>
      <c r="T95" s="11"/>
      <c r="U95" s="17" t="str">
        <f>HYPERLINK("https://pbs.twimg.com/profile_images/1353339870333251586/gVxnwWvW.jpg","View")</f>
        <v>View</v>
      </c>
      <c r="V95" s="11"/>
      <c r="W95" s="11"/>
      <c r="X95" s="11"/>
      <c r="Y95" s="11"/>
      <c r="Z95" s="11"/>
    </row>
    <row r="96">
      <c r="A96" s="8">
        <v>44222.427407407406</v>
      </c>
      <c r="B96" s="9" t="str">
        <f>HYPERLINK("https://twitter.com/softsuliet","@softsuliet")</f>
        <v>@softsuliet</v>
      </c>
      <c r="C96" s="10" t="s">
        <v>1989</v>
      </c>
      <c r="D96" s="10" t="s">
        <v>1990</v>
      </c>
      <c r="E96" s="9" t="str">
        <f>HYPERLINK("https://twitter.com/softsuliet/status/1354130854830886913","1354130854830886913")</f>
        <v>1354130854830886913</v>
      </c>
      <c r="F96" s="12" t="s">
        <v>1991</v>
      </c>
      <c r="G96" s="12" t="s">
        <v>1992</v>
      </c>
      <c r="H96" s="11"/>
      <c r="I96" s="13">
        <v>0.0</v>
      </c>
      <c r="J96" s="13">
        <v>2.0</v>
      </c>
      <c r="K96" s="9" t="str">
        <f t="shared" ref="K96:K98" si="19">HYPERLINK("http://twitter.com/download/android","Twitter for Android")</f>
        <v>Twitter for Android</v>
      </c>
      <c r="L96" s="14">
        <v>801.0</v>
      </c>
      <c r="M96" s="14">
        <v>365.0</v>
      </c>
      <c r="N96" s="14">
        <v>40.0</v>
      </c>
      <c r="O96" s="15"/>
      <c r="P96" s="16">
        <v>43960.75309027778</v>
      </c>
      <c r="Q96" s="10" t="s">
        <v>1993</v>
      </c>
      <c r="R96" s="10" t="s">
        <v>1994</v>
      </c>
      <c r="S96" s="11"/>
      <c r="T96" s="11"/>
      <c r="U96" s="17" t="str">
        <f>HYPERLINK("https://pbs.twimg.com/profile_images/1353033632634576898/a9i_lFdZ.jpg","View")</f>
        <v>View</v>
      </c>
      <c r="V96" s="11"/>
      <c r="W96" s="11"/>
      <c r="X96" s="11"/>
      <c r="Y96" s="11"/>
      <c r="Z96" s="11"/>
    </row>
    <row r="97">
      <c r="A97" s="8">
        <v>44222.42737268518</v>
      </c>
      <c r="B97" s="9" t="str">
        <f>HYPERLINK("https://twitter.com/_BeL_Mx_","@_BeL_Mx_")</f>
        <v>@_BeL_Mx_</v>
      </c>
      <c r="C97" s="10" t="s">
        <v>1995</v>
      </c>
      <c r="D97" s="10" t="s">
        <v>1996</v>
      </c>
      <c r="E97" s="9" t="str">
        <f>HYPERLINK("https://twitter.com/_BeL_Mx_/status/1354130839286722561","1354130839286722561")</f>
        <v>1354130839286722561</v>
      </c>
      <c r="F97" s="11"/>
      <c r="G97" s="11"/>
      <c r="H97" s="11"/>
      <c r="I97" s="13">
        <v>0.0</v>
      </c>
      <c r="J97" s="13">
        <v>0.0</v>
      </c>
      <c r="K97" s="9" t="str">
        <f t="shared" si="19"/>
        <v>Twitter for Android</v>
      </c>
      <c r="L97" s="14">
        <v>976.0</v>
      </c>
      <c r="M97" s="14">
        <v>140.0</v>
      </c>
      <c r="N97" s="14">
        <v>3.0</v>
      </c>
      <c r="O97" s="15"/>
      <c r="P97" s="16">
        <v>43723.900868055556</v>
      </c>
      <c r="Q97" s="10" t="s">
        <v>55</v>
      </c>
      <c r="R97" s="10" t="s">
        <v>1997</v>
      </c>
      <c r="S97" s="11"/>
      <c r="T97" s="11"/>
      <c r="U97" s="17" t="str">
        <f>HYPERLINK("https://pbs.twimg.com/profile_images/1353583213487271943/j1-w9ZIu.jpg","View")</f>
        <v>View</v>
      </c>
      <c r="V97" s="11"/>
      <c r="W97" s="11"/>
      <c r="X97" s="11"/>
      <c r="Y97" s="11"/>
      <c r="Z97" s="11"/>
    </row>
    <row r="98">
      <c r="A98" s="8">
        <v>44222.42380787037</v>
      </c>
      <c r="B98" s="9" t="str">
        <f>HYPERLINK("https://twitter.com/Reina_DeFuego","@Reina_DeFuego")</f>
        <v>@Reina_DeFuego</v>
      </c>
      <c r="C98" s="10" t="s">
        <v>1998</v>
      </c>
      <c r="D98" s="10" t="s">
        <v>1999</v>
      </c>
      <c r="E98" s="9" t="str">
        <f>HYPERLINK("https://twitter.com/Reina_DeFuego/status/1354129549114662913","1354129549114662913")</f>
        <v>1354129549114662913</v>
      </c>
      <c r="F98" s="11"/>
      <c r="G98" s="11"/>
      <c r="H98" s="11"/>
      <c r="I98" s="13">
        <v>0.0</v>
      </c>
      <c r="J98" s="13">
        <v>5.0</v>
      </c>
      <c r="K98" s="9" t="str">
        <f t="shared" si="19"/>
        <v>Twitter for Android</v>
      </c>
      <c r="L98" s="14">
        <v>344.0</v>
      </c>
      <c r="M98" s="14">
        <v>498.0</v>
      </c>
      <c r="N98" s="14">
        <v>4.0</v>
      </c>
      <c r="O98" s="15"/>
      <c r="P98" s="16">
        <v>44034.72908564815</v>
      </c>
      <c r="Q98" s="11"/>
      <c r="R98" s="10" t="s">
        <v>2000</v>
      </c>
      <c r="S98" s="11"/>
      <c r="T98" s="11"/>
      <c r="U98" s="17" t="str">
        <f>HYPERLINK("https://pbs.twimg.com/profile_images/1346583330834309123/YuGO15Jb.jpg","View")</f>
        <v>View</v>
      </c>
      <c r="V98" s="11"/>
      <c r="W98" s="11"/>
      <c r="X98" s="11"/>
      <c r="Y98" s="11"/>
      <c r="Z98" s="11"/>
    </row>
    <row r="99">
      <c r="A99" s="8">
        <v>44222.42337962963</v>
      </c>
      <c r="B99" s="9" t="str">
        <f>HYPERLINK("https://twitter.com/AliceaDaliana","@AliceaDaliana")</f>
        <v>@AliceaDaliana</v>
      </c>
      <c r="C99" s="10" t="s">
        <v>2001</v>
      </c>
      <c r="D99" s="10" t="s">
        <v>2002</v>
      </c>
      <c r="E99" s="9" t="str">
        <f>HYPERLINK("https://twitter.com/AliceaDaliana/status/1354129394189660160","1354129394189660160")</f>
        <v>1354129394189660160</v>
      </c>
      <c r="F99" s="11"/>
      <c r="G99" s="11"/>
      <c r="H99" s="11"/>
      <c r="I99" s="13">
        <v>0.0</v>
      </c>
      <c r="J99" s="13">
        <v>0.0</v>
      </c>
      <c r="K99" s="9" t="str">
        <f>HYPERLINK("http://twitter.com/download/iphone","Twitter for iPhone")</f>
        <v>Twitter for iPhone</v>
      </c>
      <c r="L99" s="14">
        <v>1472.0</v>
      </c>
      <c r="M99" s="14">
        <v>461.0</v>
      </c>
      <c r="N99" s="14">
        <v>0.0</v>
      </c>
      <c r="O99" s="15"/>
      <c r="P99" s="16">
        <v>41812.423171296294</v>
      </c>
      <c r="Q99" s="11"/>
      <c r="R99" s="10" t="s">
        <v>2003</v>
      </c>
      <c r="S99" s="11"/>
      <c r="T99" s="11"/>
      <c r="U99" s="17" t="str">
        <f>HYPERLINK("https://pbs.twimg.com/profile_images/1350495237723090945/b5TQXxgX.jpg","View")</f>
        <v>View</v>
      </c>
      <c r="V99" s="11"/>
      <c r="W99" s="11"/>
      <c r="X99" s="11"/>
      <c r="Y99" s="11"/>
      <c r="Z99" s="11"/>
    </row>
    <row r="100">
      <c r="A100" s="8">
        <v>44222.423368055555</v>
      </c>
      <c r="B100" s="9" t="str">
        <f>HYPERLINK("https://twitter.com/pelinegra_aa","@pelinegra_aa")</f>
        <v>@pelinegra_aa</v>
      </c>
      <c r="C100" s="10" t="s">
        <v>2004</v>
      </c>
      <c r="D100" s="10" t="s">
        <v>2005</v>
      </c>
      <c r="E100" s="9" t="str">
        <f>HYPERLINK("https://twitter.com/pelinegra_aa/status/1354129389458501632","1354129389458501632")</f>
        <v>1354129389458501632</v>
      </c>
      <c r="F100" s="11"/>
      <c r="G100" s="11"/>
      <c r="H100" s="11"/>
      <c r="I100" s="13">
        <v>0.0</v>
      </c>
      <c r="J100" s="13">
        <v>0.0</v>
      </c>
      <c r="K100" s="9" t="str">
        <f t="shared" ref="K100:K102" si="20">HYPERLINK("http://twitter.com/download/android","Twitter for Android")</f>
        <v>Twitter for Android</v>
      </c>
      <c r="L100" s="14">
        <v>28.0</v>
      </c>
      <c r="M100" s="14">
        <v>94.0</v>
      </c>
      <c r="N100" s="14">
        <v>0.0</v>
      </c>
      <c r="O100" s="15"/>
      <c r="P100" s="16">
        <v>43747.8978125</v>
      </c>
      <c r="Q100" s="10" t="s">
        <v>2006</v>
      </c>
      <c r="R100" s="10" t="s">
        <v>2007</v>
      </c>
      <c r="S100" s="11"/>
      <c r="T100" s="11"/>
      <c r="U100" s="17" t="str">
        <f>HYPERLINK("https://pbs.twimg.com/profile_images/1285017253898063873/HYUysm1_.jpg","View")</f>
        <v>View</v>
      </c>
      <c r="V100" s="11"/>
      <c r="W100" s="11"/>
      <c r="X100" s="11"/>
      <c r="Y100" s="11"/>
      <c r="Z100" s="11"/>
    </row>
    <row r="101">
      <c r="A101" s="8">
        <v>44222.421875</v>
      </c>
      <c r="B101" s="9" t="str">
        <f>HYPERLINK("https://twitter.com/Mimisan_15","@Mimisan_15")</f>
        <v>@Mimisan_15</v>
      </c>
      <c r="C101" s="10" t="s">
        <v>2008</v>
      </c>
      <c r="D101" s="10" t="s">
        <v>2009</v>
      </c>
      <c r="E101" s="9" t="str">
        <f>HYPERLINK("https://twitter.com/Mimisan_15/status/1354128847659216900","1354128847659216900")</f>
        <v>1354128847659216900</v>
      </c>
      <c r="F101" s="12" t="s">
        <v>2010</v>
      </c>
      <c r="G101" s="12" t="s">
        <v>2011</v>
      </c>
      <c r="H101" s="11"/>
      <c r="I101" s="13">
        <v>0.0</v>
      </c>
      <c r="J101" s="13">
        <v>4.0</v>
      </c>
      <c r="K101" s="9" t="str">
        <f t="shared" si="20"/>
        <v>Twitter for Android</v>
      </c>
      <c r="L101" s="14">
        <v>760.0</v>
      </c>
      <c r="M101" s="14">
        <v>3731.0</v>
      </c>
      <c r="N101" s="14">
        <v>2.0</v>
      </c>
      <c r="O101" s="15"/>
      <c r="P101" s="16">
        <v>43303.707083333335</v>
      </c>
      <c r="Q101" s="11"/>
      <c r="R101" s="10" t="s">
        <v>2012</v>
      </c>
      <c r="S101" s="12" t="s">
        <v>2013</v>
      </c>
      <c r="T101" s="11"/>
      <c r="U101" s="17" t="str">
        <f>HYPERLINK("https://pbs.twimg.com/profile_images/1352542525941276673/dRzGsAQH.jpg","View")</f>
        <v>View</v>
      </c>
      <c r="V101" s="11"/>
      <c r="W101" s="11"/>
      <c r="X101" s="11"/>
      <c r="Y101" s="11"/>
      <c r="Z101" s="11"/>
    </row>
    <row r="102">
      <c r="A102" s="8">
        <v>44222.42144675926</v>
      </c>
      <c r="B102" s="9" t="str">
        <f>HYPERLINK("https://twitter.com/aquariusflames","@aquariusflames")</f>
        <v>@aquariusflames</v>
      </c>
      <c r="C102" s="10" t="s">
        <v>2014</v>
      </c>
      <c r="D102" s="10" t="s">
        <v>2015</v>
      </c>
      <c r="E102" s="9" t="str">
        <f>HYPERLINK("https://twitter.com/aquariusflames/status/1354128694370062337","1354128694370062337")</f>
        <v>1354128694370062337</v>
      </c>
      <c r="F102" s="10" t="s">
        <v>2016</v>
      </c>
      <c r="G102" s="11"/>
      <c r="H102" s="11"/>
      <c r="I102" s="13">
        <v>0.0</v>
      </c>
      <c r="J102" s="13">
        <v>0.0</v>
      </c>
      <c r="K102" s="9" t="str">
        <f t="shared" si="20"/>
        <v>Twitter for Android</v>
      </c>
      <c r="L102" s="14">
        <v>2153.0</v>
      </c>
      <c r="M102" s="14">
        <v>1095.0</v>
      </c>
      <c r="N102" s="14">
        <v>22.0</v>
      </c>
      <c r="O102" s="15"/>
      <c r="P102" s="16">
        <v>42561.31893518519</v>
      </c>
      <c r="Q102" s="11"/>
      <c r="R102" s="10" t="s">
        <v>2017</v>
      </c>
      <c r="S102" s="11"/>
      <c r="T102" s="11"/>
      <c r="U102" s="17" t="str">
        <f>HYPERLINK("https://pbs.twimg.com/profile_images/1352626431021473794/2uXDv-Tx.png","View")</f>
        <v>View</v>
      </c>
      <c r="V102" s="11"/>
      <c r="W102" s="11"/>
      <c r="X102" s="11"/>
      <c r="Y102" s="11"/>
      <c r="Z102" s="11"/>
    </row>
    <row r="103">
      <c r="A103" s="18"/>
      <c r="B103" s="11"/>
      <c r="C103" s="11"/>
      <c r="D103" s="11"/>
      <c r="E103" s="11"/>
      <c r="F103" s="11"/>
      <c r="G103" s="11"/>
      <c r="H103" s="11"/>
      <c r="I103" s="11"/>
      <c r="J103" s="11"/>
      <c r="K103" s="11"/>
      <c r="L103" s="15"/>
      <c r="M103" s="15"/>
      <c r="N103" s="15"/>
      <c r="O103" s="15"/>
      <c r="P103" s="15"/>
      <c r="Q103" s="11"/>
      <c r="R103" s="11"/>
      <c r="S103" s="11"/>
      <c r="T103" s="11"/>
      <c r="U103" s="15"/>
      <c r="V103" s="11"/>
      <c r="W103" s="11"/>
      <c r="X103" s="11"/>
      <c r="Y103" s="11"/>
      <c r="Z103" s="11"/>
    </row>
    <row r="104">
      <c r="A104" s="18"/>
      <c r="B104" s="11"/>
      <c r="C104" s="11"/>
      <c r="D104" s="11"/>
      <c r="E104" s="11"/>
      <c r="F104" s="11"/>
      <c r="G104" s="11"/>
      <c r="H104" s="11"/>
      <c r="I104" s="11"/>
      <c r="J104" s="11"/>
      <c r="K104" s="11"/>
      <c r="L104" s="15"/>
      <c r="M104" s="15"/>
      <c r="N104" s="15"/>
      <c r="O104" s="15"/>
      <c r="P104" s="15"/>
      <c r="Q104" s="11"/>
      <c r="R104" s="11"/>
      <c r="S104" s="11"/>
      <c r="T104" s="11"/>
      <c r="U104" s="15"/>
      <c r="V104" s="11"/>
      <c r="W104" s="11"/>
      <c r="X104" s="11"/>
      <c r="Y104" s="11"/>
      <c r="Z104" s="11"/>
    </row>
    <row r="105">
      <c r="A105" s="18"/>
      <c r="B105" s="11"/>
      <c r="C105" s="11"/>
      <c r="D105" s="11"/>
      <c r="E105" s="11"/>
      <c r="F105" s="11"/>
      <c r="G105" s="11"/>
      <c r="H105" s="11"/>
      <c r="I105" s="11"/>
      <c r="J105" s="11"/>
      <c r="K105" s="11"/>
      <c r="L105" s="15"/>
      <c r="M105" s="15"/>
      <c r="N105" s="15"/>
      <c r="O105" s="15"/>
      <c r="P105" s="15"/>
      <c r="Q105" s="11"/>
      <c r="R105" s="11"/>
      <c r="S105" s="11"/>
      <c r="T105" s="11"/>
      <c r="U105" s="15"/>
      <c r="V105" s="11"/>
      <c r="W105" s="11"/>
      <c r="X105" s="11"/>
      <c r="Y105" s="11"/>
      <c r="Z105" s="11"/>
    </row>
    <row r="106">
      <c r="A106" s="18"/>
      <c r="B106" s="11"/>
      <c r="C106" s="11"/>
      <c r="D106" s="11"/>
      <c r="E106" s="11"/>
      <c r="F106" s="11"/>
      <c r="G106" s="11"/>
      <c r="H106" s="11"/>
      <c r="I106" s="11"/>
      <c r="J106" s="11"/>
      <c r="K106" s="11"/>
      <c r="L106" s="15"/>
      <c r="M106" s="15"/>
      <c r="N106" s="15"/>
      <c r="O106" s="15"/>
      <c r="P106" s="15"/>
      <c r="Q106" s="11"/>
      <c r="R106" s="11"/>
      <c r="S106" s="11"/>
      <c r="T106" s="11"/>
      <c r="U106" s="15"/>
      <c r="V106" s="11"/>
      <c r="W106" s="11"/>
      <c r="X106" s="11"/>
      <c r="Y106" s="11"/>
      <c r="Z106" s="11"/>
    </row>
    <row r="107">
      <c r="A107" s="18"/>
      <c r="B107" s="11"/>
      <c r="C107" s="11"/>
      <c r="D107" s="11"/>
      <c r="E107" s="11"/>
      <c r="F107" s="11"/>
      <c r="G107" s="11"/>
      <c r="H107" s="11"/>
      <c r="I107" s="11"/>
      <c r="J107" s="11"/>
      <c r="K107" s="11"/>
      <c r="L107" s="15"/>
      <c r="M107" s="15"/>
      <c r="N107" s="15"/>
      <c r="O107" s="15"/>
      <c r="P107" s="15"/>
      <c r="Q107" s="11"/>
      <c r="R107" s="11"/>
      <c r="S107" s="11"/>
      <c r="T107" s="11"/>
      <c r="U107" s="15"/>
      <c r="V107" s="11"/>
      <c r="W107" s="11"/>
      <c r="X107" s="11"/>
      <c r="Y107" s="11"/>
      <c r="Z107" s="11"/>
    </row>
    <row r="108">
      <c r="A108" s="18"/>
      <c r="B108" s="11"/>
      <c r="C108" s="11"/>
      <c r="D108" s="11"/>
      <c r="E108" s="11"/>
      <c r="F108" s="11"/>
      <c r="G108" s="11"/>
      <c r="H108" s="11"/>
      <c r="I108" s="11"/>
      <c r="J108" s="11"/>
      <c r="K108" s="11"/>
      <c r="L108" s="15"/>
      <c r="M108" s="15"/>
      <c r="N108" s="15"/>
      <c r="O108" s="15"/>
      <c r="P108" s="15"/>
      <c r="Q108" s="11"/>
      <c r="R108" s="11"/>
      <c r="S108" s="11"/>
      <c r="T108" s="11"/>
      <c r="U108" s="15"/>
      <c r="V108" s="11"/>
      <c r="W108" s="11"/>
      <c r="X108" s="11"/>
      <c r="Y108" s="11"/>
      <c r="Z108" s="11"/>
    </row>
    <row r="109">
      <c r="A109" s="18"/>
      <c r="B109" s="11"/>
      <c r="C109" s="11"/>
      <c r="D109" s="11"/>
      <c r="E109" s="11"/>
      <c r="F109" s="11"/>
      <c r="G109" s="11"/>
      <c r="H109" s="11"/>
      <c r="I109" s="11"/>
      <c r="J109" s="11"/>
      <c r="K109" s="11"/>
      <c r="L109" s="15"/>
      <c r="M109" s="15"/>
      <c r="N109" s="15"/>
      <c r="O109" s="15"/>
      <c r="P109" s="15"/>
      <c r="Q109" s="11"/>
      <c r="R109" s="11"/>
      <c r="S109" s="11"/>
      <c r="T109" s="11"/>
      <c r="U109" s="15"/>
      <c r="V109" s="11"/>
      <c r="W109" s="11"/>
      <c r="X109" s="11"/>
      <c r="Y109" s="11"/>
      <c r="Z109" s="11"/>
    </row>
    <row r="110">
      <c r="A110" s="18"/>
      <c r="B110" s="11"/>
      <c r="C110" s="11"/>
      <c r="D110" s="11"/>
      <c r="E110" s="11"/>
      <c r="F110" s="11"/>
      <c r="G110" s="11"/>
      <c r="H110" s="11"/>
      <c r="I110" s="11"/>
      <c r="J110" s="11"/>
      <c r="K110" s="11"/>
      <c r="L110" s="15"/>
      <c r="M110" s="15"/>
      <c r="N110" s="15"/>
      <c r="O110" s="15"/>
      <c r="P110" s="15"/>
      <c r="Q110" s="11"/>
      <c r="R110" s="11"/>
      <c r="S110" s="11"/>
      <c r="T110" s="11"/>
      <c r="U110" s="15"/>
      <c r="V110" s="11"/>
      <c r="W110" s="11"/>
      <c r="X110" s="11"/>
      <c r="Y110" s="11"/>
      <c r="Z110" s="11"/>
    </row>
    <row r="111">
      <c r="A111" s="18"/>
      <c r="B111" s="11"/>
      <c r="C111" s="11"/>
      <c r="D111" s="11"/>
      <c r="E111" s="11"/>
      <c r="F111" s="11"/>
      <c r="G111" s="11"/>
      <c r="H111" s="11"/>
      <c r="I111" s="11"/>
      <c r="J111" s="11"/>
      <c r="K111" s="11"/>
      <c r="L111" s="15"/>
      <c r="M111" s="15"/>
      <c r="N111" s="15"/>
      <c r="O111" s="15"/>
      <c r="P111" s="15"/>
      <c r="Q111" s="11"/>
      <c r="R111" s="11"/>
      <c r="S111" s="11"/>
      <c r="T111" s="11"/>
      <c r="U111" s="15"/>
      <c r="V111" s="11"/>
      <c r="W111" s="11"/>
      <c r="X111" s="11"/>
      <c r="Y111" s="11"/>
      <c r="Z111" s="11"/>
    </row>
    <row r="112">
      <c r="A112" s="18"/>
      <c r="B112" s="11"/>
      <c r="C112" s="11"/>
      <c r="D112" s="11"/>
      <c r="E112" s="11"/>
      <c r="F112" s="11"/>
      <c r="G112" s="11"/>
      <c r="H112" s="11"/>
      <c r="I112" s="11"/>
      <c r="J112" s="11"/>
      <c r="K112" s="11"/>
      <c r="L112" s="15"/>
      <c r="M112" s="15"/>
      <c r="N112" s="15"/>
      <c r="O112" s="15"/>
      <c r="P112" s="15"/>
      <c r="Q112" s="11"/>
      <c r="R112" s="11"/>
      <c r="S112" s="11"/>
      <c r="T112" s="11"/>
      <c r="U112" s="15"/>
      <c r="V112" s="11"/>
      <c r="W112" s="11"/>
      <c r="X112" s="11"/>
      <c r="Y112" s="11"/>
      <c r="Z112" s="11"/>
    </row>
    <row r="113">
      <c r="A113" s="18"/>
      <c r="B113" s="11"/>
      <c r="C113" s="11"/>
      <c r="D113" s="11"/>
      <c r="E113" s="11"/>
      <c r="F113" s="11"/>
      <c r="G113" s="11"/>
      <c r="H113" s="11"/>
      <c r="I113" s="11"/>
      <c r="J113" s="11"/>
      <c r="K113" s="11"/>
      <c r="L113" s="15"/>
      <c r="M113" s="15"/>
      <c r="N113" s="15"/>
      <c r="O113" s="15"/>
      <c r="P113" s="15"/>
      <c r="Q113" s="11"/>
      <c r="R113" s="11"/>
      <c r="S113" s="11"/>
      <c r="T113" s="11"/>
      <c r="U113" s="15"/>
      <c r="V113" s="11"/>
      <c r="W113" s="11"/>
      <c r="X113" s="11"/>
      <c r="Y113" s="11"/>
      <c r="Z113" s="11"/>
    </row>
    <row r="114">
      <c r="A114" s="18"/>
      <c r="B114" s="11"/>
      <c r="C114" s="11"/>
      <c r="D114" s="11"/>
      <c r="E114" s="11"/>
      <c r="F114" s="11"/>
      <c r="G114" s="11"/>
      <c r="H114" s="11"/>
      <c r="I114" s="11"/>
      <c r="J114" s="11"/>
      <c r="K114" s="11"/>
      <c r="L114" s="15"/>
      <c r="M114" s="15"/>
      <c r="N114" s="15"/>
      <c r="O114" s="15"/>
      <c r="P114" s="15"/>
      <c r="Q114" s="11"/>
      <c r="R114" s="11"/>
      <c r="S114" s="11"/>
      <c r="T114" s="11"/>
      <c r="U114" s="15"/>
      <c r="V114" s="11"/>
      <c r="W114" s="11"/>
      <c r="X114" s="11"/>
      <c r="Y114" s="11"/>
      <c r="Z114" s="11"/>
    </row>
    <row r="115">
      <c r="A115" s="18"/>
      <c r="B115" s="11"/>
      <c r="C115" s="11"/>
      <c r="D115" s="11"/>
      <c r="E115" s="11"/>
      <c r="F115" s="11"/>
      <c r="G115" s="11"/>
      <c r="H115" s="11"/>
      <c r="I115" s="11"/>
      <c r="J115" s="11"/>
      <c r="K115" s="11"/>
      <c r="L115" s="15"/>
      <c r="M115" s="15"/>
      <c r="N115" s="15"/>
      <c r="O115" s="15"/>
      <c r="P115" s="15"/>
      <c r="Q115" s="11"/>
      <c r="R115" s="11"/>
      <c r="S115" s="11"/>
      <c r="T115" s="11"/>
      <c r="U115" s="15"/>
      <c r="V115" s="11"/>
      <c r="W115" s="11"/>
      <c r="X115" s="11"/>
      <c r="Y115" s="11"/>
      <c r="Z115" s="11"/>
    </row>
    <row r="116">
      <c r="A116" s="18"/>
      <c r="B116" s="11"/>
      <c r="C116" s="11"/>
      <c r="D116" s="11"/>
      <c r="E116" s="11"/>
      <c r="F116" s="11"/>
      <c r="G116" s="11"/>
      <c r="H116" s="11"/>
      <c r="I116" s="11"/>
      <c r="J116" s="11"/>
      <c r="K116" s="11"/>
      <c r="L116" s="15"/>
      <c r="M116" s="15"/>
      <c r="N116" s="15"/>
      <c r="O116" s="15"/>
      <c r="P116" s="15"/>
      <c r="Q116" s="11"/>
      <c r="R116" s="11"/>
      <c r="S116" s="11"/>
      <c r="T116" s="11"/>
      <c r="U116" s="15"/>
      <c r="V116" s="11"/>
      <c r="W116" s="11"/>
      <c r="X116" s="11"/>
      <c r="Y116" s="11"/>
      <c r="Z116" s="11"/>
    </row>
    <row r="117">
      <c r="A117" s="18"/>
      <c r="B117" s="11"/>
      <c r="C117" s="11"/>
      <c r="D117" s="11"/>
      <c r="E117" s="11"/>
      <c r="F117" s="11"/>
      <c r="G117" s="11"/>
      <c r="H117" s="11"/>
      <c r="I117" s="11"/>
      <c r="J117" s="11"/>
      <c r="K117" s="11"/>
      <c r="L117" s="15"/>
      <c r="M117" s="15"/>
      <c r="N117" s="15"/>
      <c r="O117" s="15"/>
      <c r="P117" s="15"/>
      <c r="Q117" s="11"/>
      <c r="R117" s="11"/>
      <c r="S117" s="11"/>
      <c r="T117" s="11"/>
      <c r="U117" s="15"/>
      <c r="V117" s="11"/>
      <c r="W117" s="11"/>
      <c r="X117" s="11"/>
      <c r="Y117" s="11"/>
      <c r="Z117" s="11"/>
    </row>
    <row r="118">
      <c r="A118" s="18"/>
      <c r="B118" s="11"/>
      <c r="C118" s="11"/>
      <c r="D118" s="11"/>
      <c r="E118" s="11"/>
      <c r="F118" s="11"/>
      <c r="G118" s="11"/>
      <c r="H118" s="11"/>
      <c r="I118" s="11"/>
      <c r="J118" s="11"/>
      <c r="K118" s="11"/>
      <c r="L118" s="15"/>
      <c r="M118" s="15"/>
      <c r="N118" s="15"/>
      <c r="O118" s="15"/>
      <c r="P118" s="15"/>
      <c r="Q118" s="11"/>
      <c r="R118" s="11"/>
      <c r="S118" s="11"/>
      <c r="T118" s="11"/>
      <c r="U118" s="15"/>
      <c r="V118" s="11"/>
      <c r="W118" s="11"/>
      <c r="X118" s="11"/>
      <c r="Y118" s="11"/>
      <c r="Z118" s="11"/>
    </row>
    <row r="119">
      <c r="A119" s="18"/>
      <c r="B119" s="11"/>
      <c r="C119" s="11"/>
      <c r="D119" s="11"/>
      <c r="E119" s="11"/>
      <c r="F119" s="11"/>
      <c r="G119" s="11"/>
      <c r="H119" s="11"/>
      <c r="I119" s="11"/>
      <c r="J119" s="11"/>
      <c r="K119" s="11"/>
      <c r="L119" s="15"/>
      <c r="M119" s="15"/>
      <c r="N119" s="15"/>
      <c r="O119" s="15"/>
      <c r="P119" s="15"/>
      <c r="Q119" s="11"/>
      <c r="R119" s="11"/>
      <c r="S119" s="11"/>
      <c r="T119" s="11"/>
      <c r="U119" s="15"/>
      <c r="V119" s="11"/>
      <c r="W119" s="11"/>
      <c r="X119" s="11"/>
      <c r="Y119" s="11"/>
      <c r="Z119" s="11"/>
    </row>
    <row r="120">
      <c r="A120" s="18"/>
      <c r="B120" s="11"/>
      <c r="C120" s="11"/>
      <c r="D120" s="11"/>
      <c r="E120" s="11"/>
      <c r="F120" s="11"/>
      <c r="G120" s="11"/>
      <c r="H120" s="11"/>
      <c r="I120" s="11"/>
      <c r="J120" s="11"/>
      <c r="K120" s="11"/>
      <c r="L120" s="15"/>
      <c r="M120" s="15"/>
      <c r="N120" s="15"/>
      <c r="O120" s="15"/>
      <c r="P120" s="15"/>
      <c r="Q120" s="11"/>
      <c r="R120" s="11"/>
      <c r="S120" s="11"/>
      <c r="T120" s="11"/>
      <c r="U120" s="15"/>
      <c r="V120" s="11"/>
      <c r="W120" s="11"/>
      <c r="X120" s="11"/>
      <c r="Y120" s="11"/>
      <c r="Z120" s="11"/>
    </row>
    <row r="121">
      <c r="A121" s="18"/>
      <c r="B121" s="11"/>
      <c r="C121" s="11"/>
      <c r="D121" s="11"/>
      <c r="E121" s="11"/>
      <c r="F121" s="11"/>
      <c r="G121" s="11"/>
      <c r="H121" s="11"/>
      <c r="I121" s="11"/>
      <c r="J121" s="11"/>
      <c r="K121" s="11"/>
      <c r="L121" s="15"/>
      <c r="M121" s="15"/>
      <c r="N121" s="15"/>
      <c r="O121" s="15"/>
      <c r="P121" s="15"/>
      <c r="Q121" s="11"/>
      <c r="R121" s="11"/>
      <c r="S121" s="11"/>
      <c r="T121" s="11"/>
      <c r="U121" s="15"/>
      <c r="V121" s="11"/>
      <c r="W121" s="11"/>
      <c r="X121" s="11"/>
      <c r="Y121" s="11"/>
      <c r="Z121" s="11"/>
    </row>
    <row r="122">
      <c r="A122" s="18"/>
      <c r="B122" s="11"/>
      <c r="C122" s="11"/>
      <c r="D122" s="11"/>
      <c r="E122" s="11"/>
      <c r="F122" s="11"/>
      <c r="G122" s="11"/>
      <c r="H122" s="11"/>
      <c r="I122" s="11"/>
      <c r="J122" s="11"/>
      <c r="K122" s="11"/>
      <c r="L122" s="15"/>
      <c r="M122" s="15"/>
      <c r="N122" s="15"/>
      <c r="O122" s="15"/>
      <c r="P122" s="15"/>
      <c r="Q122" s="11"/>
      <c r="R122" s="11"/>
      <c r="S122" s="11"/>
      <c r="T122" s="11"/>
      <c r="U122" s="15"/>
      <c r="V122" s="11"/>
      <c r="W122" s="11"/>
      <c r="X122" s="11"/>
      <c r="Y122" s="11"/>
      <c r="Z122" s="11"/>
    </row>
    <row r="123">
      <c r="A123" s="18"/>
      <c r="B123" s="11"/>
      <c r="C123" s="11"/>
      <c r="D123" s="11"/>
      <c r="E123" s="11"/>
      <c r="F123" s="11"/>
      <c r="G123" s="11"/>
      <c r="H123" s="11"/>
      <c r="I123" s="11"/>
      <c r="J123" s="11"/>
      <c r="K123" s="11"/>
      <c r="L123" s="15"/>
      <c r="M123" s="15"/>
      <c r="N123" s="15"/>
      <c r="O123" s="15"/>
      <c r="P123" s="15"/>
      <c r="Q123" s="11"/>
      <c r="R123" s="11"/>
      <c r="S123" s="11"/>
      <c r="T123" s="11"/>
      <c r="U123" s="15"/>
      <c r="V123" s="11"/>
      <c r="W123" s="11"/>
      <c r="X123" s="11"/>
      <c r="Y123" s="11"/>
      <c r="Z123" s="11"/>
    </row>
    <row r="124">
      <c r="A124" s="18"/>
      <c r="B124" s="11"/>
      <c r="C124" s="11"/>
      <c r="D124" s="11"/>
      <c r="E124" s="11"/>
      <c r="F124" s="11"/>
      <c r="G124" s="11"/>
      <c r="H124" s="11"/>
      <c r="I124" s="11"/>
      <c r="J124" s="11"/>
      <c r="K124" s="11"/>
      <c r="L124" s="15"/>
      <c r="M124" s="15"/>
      <c r="N124" s="15"/>
      <c r="O124" s="15"/>
      <c r="P124" s="15"/>
      <c r="Q124" s="11"/>
      <c r="R124" s="11"/>
      <c r="S124" s="11"/>
      <c r="T124" s="11"/>
      <c r="U124" s="15"/>
      <c r="V124" s="11"/>
      <c r="W124" s="11"/>
      <c r="X124" s="11"/>
      <c r="Y124" s="11"/>
      <c r="Z124" s="11"/>
    </row>
    <row r="125">
      <c r="A125" s="18"/>
      <c r="B125" s="11"/>
      <c r="C125" s="11"/>
      <c r="D125" s="11"/>
      <c r="E125" s="11"/>
      <c r="F125" s="11"/>
      <c r="G125" s="11"/>
      <c r="H125" s="11"/>
      <c r="I125" s="11"/>
      <c r="J125" s="11"/>
      <c r="K125" s="11"/>
      <c r="L125" s="15"/>
      <c r="M125" s="15"/>
      <c r="N125" s="15"/>
      <c r="O125" s="15"/>
      <c r="P125" s="15"/>
      <c r="Q125" s="11"/>
      <c r="R125" s="11"/>
      <c r="S125" s="11"/>
      <c r="T125" s="11"/>
      <c r="U125" s="15"/>
      <c r="V125" s="11"/>
      <c r="W125" s="11"/>
      <c r="X125" s="11"/>
      <c r="Y125" s="11"/>
      <c r="Z125" s="11"/>
    </row>
    <row r="126">
      <c r="A126" s="18"/>
      <c r="B126" s="11"/>
      <c r="C126" s="11"/>
      <c r="D126" s="11"/>
      <c r="E126" s="11"/>
      <c r="F126" s="11"/>
      <c r="G126" s="11"/>
      <c r="H126" s="11"/>
      <c r="I126" s="11"/>
      <c r="J126" s="11"/>
      <c r="K126" s="11"/>
      <c r="L126" s="15"/>
      <c r="M126" s="15"/>
      <c r="N126" s="15"/>
      <c r="O126" s="15"/>
      <c r="P126" s="15"/>
      <c r="Q126" s="11"/>
      <c r="R126" s="11"/>
      <c r="S126" s="11"/>
      <c r="T126" s="11"/>
      <c r="U126" s="15"/>
      <c r="V126" s="11"/>
      <c r="W126" s="11"/>
      <c r="X126" s="11"/>
      <c r="Y126" s="11"/>
      <c r="Z126" s="11"/>
    </row>
    <row r="127">
      <c r="A127" s="18"/>
      <c r="B127" s="11"/>
      <c r="C127" s="11"/>
      <c r="D127" s="11"/>
      <c r="E127" s="11"/>
      <c r="F127" s="11"/>
      <c r="G127" s="11"/>
      <c r="H127" s="11"/>
      <c r="I127" s="11"/>
      <c r="J127" s="11"/>
      <c r="K127" s="11"/>
      <c r="L127" s="15"/>
      <c r="M127" s="15"/>
      <c r="N127" s="15"/>
      <c r="O127" s="15"/>
      <c r="P127" s="15"/>
      <c r="Q127" s="11"/>
      <c r="R127" s="11"/>
      <c r="S127" s="11"/>
      <c r="T127" s="11"/>
      <c r="U127" s="15"/>
      <c r="V127" s="11"/>
      <c r="W127" s="11"/>
      <c r="X127" s="11"/>
      <c r="Y127" s="11"/>
      <c r="Z127" s="11"/>
    </row>
    <row r="128">
      <c r="A128" s="18"/>
      <c r="B128" s="11"/>
      <c r="C128" s="11"/>
      <c r="D128" s="11"/>
      <c r="E128" s="11"/>
      <c r="F128" s="11"/>
      <c r="G128" s="11"/>
      <c r="H128" s="11"/>
      <c r="I128" s="11"/>
      <c r="J128" s="11"/>
      <c r="K128" s="11"/>
      <c r="L128" s="15"/>
      <c r="M128" s="15"/>
      <c r="N128" s="15"/>
      <c r="O128" s="15"/>
      <c r="P128" s="15"/>
      <c r="Q128" s="11"/>
      <c r="R128" s="11"/>
      <c r="S128" s="11"/>
      <c r="T128" s="11"/>
      <c r="U128" s="15"/>
      <c r="V128" s="11"/>
      <c r="W128" s="11"/>
      <c r="X128" s="11"/>
      <c r="Y128" s="11"/>
      <c r="Z128" s="11"/>
    </row>
    <row r="129">
      <c r="A129" s="18"/>
      <c r="B129" s="11"/>
      <c r="C129" s="11"/>
      <c r="D129" s="11"/>
      <c r="E129" s="11"/>
      <c r="F129" s="11"/>
      <c r="G129" s="11"/>
      <c r="H129" s="11"/>
      <c r="I129" s="11"/>
      <c r="J129" s="11"/>
      <c r="K129" s="11"/>
      <c r="L129" s="15"/>
      <c r="M129" s="15"/>
      <c r="N129" s="15"/>
      <c r="O129" s="15"/>
      <c r="P129" s="15"/>
      <c r="Q129" s="11"/>
      <c r="R129" s="11"/>
      <c r="S129" s="11"/>
      <c r="T129" s="11"/>
      <c r="U129" s="15"/>
      <c r="V129" s="11"/>
      <c r="W129" s="11"/>
      <c r="X129" s="11"/>
      <c r="Y129" s="11"/>
      <c r="Z129" s="11"/>
    </row>
    <row r="130">
      <c r="A130" s="18"/>
      <c r="B130" s="11"/>
      <c r="C130" s="11"/>
      <c r="D130" s="11"/>
      <c r="E130" s="11"/>
      <c r="F130" s="11"/>
      <c r="G130" s="11"/>
      <c r="H130" s="11"/>
      <c r="I130" s="11"/>
      <c r="J130" s="11"/>
      <c r="K130" s="11"/>
      <c r="L130" s="15"/>
      <c r="M130" s="15"/>
      <c r="N130" s="15"/>
      <c r="O130" s="15"/>
      <c r="P130" s="15"/>
      <c r="Q130" s="11"/>
      <c r="R130" s="11"/>
      <c r="S130" s="11"/>
      <c r="T130" s="11"/>
      <c r="U130" s="15"/>
      <c r="V130" s="11"/>
      <c r="W130" s="11"/>
      <c r="X130" s="11"/>
      <c r="Y130" s="11"/>
      <c r="Z130" s="11"/>
    </row>
    <row r="131">
      <c r="A131" s="18"/>
      <c r="B131" s="11"/>
      <c r="C131" s="11"/>
      <c r="D131" s="11"/>
      <c r="E131" s="11"/>
      <c r="F131" s="11"/>
      <c r="G131" s="11"/>
      <c r="H131" s="11"/>
      <c r="I131" s="11"/>
      <c r="J131" s="11"/>
      <c r="K131" s="11"/>
      <c r="L131" s="15"/>
      <c r="M131" s="15"/>
      <c r="N131" s="15"/>
      <c r="O131" s="15"/>
      <c r="P131" s="15"/>
      <c r="Q131" s="11"/>
      <c r="R131" s="11"/>
      <c r="S131" s="11"/>
      <c r="T131" s="11"/>
      <c r="U131" s="15"/>
      <c r="V131" s="11"/>
      <c r="W131" s="11"/>
      <c r="X131" s="11"/>
      <c r="Y131" s="11"/>
      <c r="Z131" s="11"/>
    </row>
    <row r="132">
      <c r="A132" s="18"/>
      <c r="B132" s="11"/>
      <c r="C132" s="11"/>
      <c r="D132" s="11"/>
      <c r="E132" s="11"/>
      <c r="F132" s="11"/>
      <c r="G132" s="11"/>
      <c r="H132" s="11"/>
      <c r="I132" s="11"/>
      <c r="J132" s="11"/>
      <c r="K132" s="11"/>
      <c r="L132" s="15"/>
      <c r="M132" s="15"/>
      <c r="N132" s="15"/>
      <c r="O132" s="15"/>
      <c r="P132" s="15"/>
      <c r="Q132" s="11"/>
      <c r="R132" s="11"/>
      <c r="S132" s="11"/>
      <c r="T132" s="11"/>
      <c r="U132" s="15"/>
      <c r="V132" s="11"/>
      <c r="W132" s="11"/>
      <c r="X132" s="11"/>
      <c r="Y132" s="11"/>
      <c r="Z132" s="11"/>
    </row>
    <row r="133">
      <c r="A133" s="18"/>
      <c r="B133" s="11"/>
      <c r="C133" s="11"/>
      <c r="D133" s="11"/>
      <c r="E133" s="11"/>
      <c r="F133" s="11"/>
      <c r="G133" s="11"/>
      <c r="H133" s="11"/>
      <c r="I133" s="11"/>
      <c r="J133" s="11"/>
      <c r="K133" s="11"/>
      <c r="L133" s="15"/>
      <c r="M133" s="15"/>
      <c r="N133" s="15"/>
      <c r="O133" s="15"/>
      <c r="P133" s="15"/>
      <c r="Q133" s="11"/>
      <c r="R133" s="11"/>
      <c r="S133" s="11"/>
      <c r="T133" s="11"/>
      <c r="U133" s="15"/>
      <c r="V133" s="11"/>
      <c r="W133" s="11"/>
      <c r="X133" s="11"/>
      <c r="Y133" s="11"/>
      <c r="Z133" s="11"/>
    </row>
    <row r="134">
      <c r="A134" s="18"/>
      <c r="B134" s="11"/>
      <c r="C134" s="11"/>
      <c r="D134" s="11"/>
      <c r="E134" s="11"/>
      <c r="F134" s="11"/>
      <c r="G134" s="11"/>
      <c r="H134" s="11"/>
      <c r="I134" s="11"/>
      <c r="J134" s="11"/>
      <c r="K134" s="11"/>
      <c r="L134" s="15"/>
      <c r="M134" s="15"/>
      <c r="N134" s="15"/>
      <c r="O134" s="15"/>
      <c r="P134" s="15"/>
      <c r="Q134" s="11"/>
      <c r="R134" s="11"/>
      <c r="S134" s="11"/>
      <c r="T134" s="11"/>
      <c r="U134" s="15"/>
      <c r="V134" s="11"/>
      <c r="W134" s="11"/>
      <c r="X134" s="11"/>
      <c r="Y134" s="11"/>
      <c r="Z134" s="11"/>
    </row>
    <row r="135">
      <c r="A135" s="18"/>
      <c r="B135" s="11"/>
      <c r="C135" s="11"/>
      <c r="D135" s="11"/>
      <c r="E135" s="11"/>
      <c r="F135" s="11"/>
      <c r="G135" s="11"/>
      <c r="H135" s="11"/>
      <c r="I135" s="11"/>
      <c r="J135" s="11"/>
      <c r="K135" s="11"/>
      <c r="L135" s="15"/>
      <c r="M135" s="15"/>
      <c r="N135" s="15"/>
      <c r="O135" s="15"/>
      <c r="P135" s="15"/>
      <c r="Q135" s="11"/>
      <c r="R135" s="11"/>
      <c r="S135" s="11"/>
      <c r="T135" s="11"/>
      <c r="U135" s="15"/>
      <c r="V135" s="11"/>
      <c r="W135" s="11"/>
      <c r="X135" s="11"/>
      <c r="Y135" s="11"/>
      <c r="Z135" s="11"/>
    </row>
    <row r="136">
      <c r="A136" s="18"/>
      <c r="B136" s="11"/>
      <c r="C136" s="11"/>
      <c r="D136" s="11"/>
      <c r="E136" s="11"/>
      <c r="F136" s="11"/>
      <c r="G136" s="11"/>
      <c r="H136" s="11"/>
      <c r="I136" s="11"/>
      <c r="J136" s="11"/>
      <c r="K136" s="11"/>
      <c r="L136" s="15"/>
      <c r="M136" s="15"/>
      <c r="N136" s="15"/>
      <c r="O136" s="15"/>
      <c r="P136" s="15"/>
      <c r="Q136" s="11"/>
      <c r="R136" s="11"/>
      <c r="S136" s="11"/>
      <c r="T136" s="11"/>
      <c r="U136" s="15"/>
      <c r="V136" s="11"/>
      <c r="W136" s="11"/>
      <c r="X136" s="11"/>
      <c r="Y136" s="11"/>
      <c r="Z136" s="11"/>
    </row>
    <row r="137">
      <c r="A137" s="18"/>
      <c r="B137" s="11"/>
      <c r="C137" s="11"/>
      <c r="D137" s="11"/>
      <c r="E137" s="11"/>
      <c r="F137" s="11"/>
      <c r="G137" s="11"/>
      <c r="H137" s="11"/>
      <c r="I137" s="11"/>
      <c r="J137" s="11"/>
      <c r="K137" s="11"/>
      <c r="L137" s="15"/>
      <c r="M137" s="15"/>
      <c r="N137" s="15"/>
      <c r="O137" s="15"/>
      <c r="P137" s="15"/>
      <c r="Q137" s="11"/>
      <c r="R137" s="11"/>
      <c r="S137" s="11"/>
      <c r="T137" s="11"/>
      <c r="U137" s="15"/>
      <c r="V137" s="11"/>
      <c r="W137" s="11"/>
      <c r="X137" s="11"/>
      <c r="Y137" s="11"/>
      <c r="Z137" s="11"/>
    </row>
    <row r="138">
      <c r="A138" s="18"/>
      <c r="B138" s="11"/>
      <c r="C138" s="11"/>
      <c r="D138" s="11"/>
      <c r="E138" s="11"/>
      <c r="F138" s="11"/>
      <c r="G138" s="11"/>
      <c r="H138" s="11"/>
      <c r="I138" s="11"/>
      <c r="J138" s="11"/>
      <c r="K138" s="11"/>
      <c r="L138" s="15"/>
      <c r="M138" s="15"/>
      <c r="N138" s="15"/>
      <c r="O138" s="15"/>
      <c r="P138" s="15"/>
      <c r="Q138" s="11"/>
      <c r="R138" s="11"/>
      <c r="S138" s="11"/>
      <c r="T138" s="11"/>
      <c r="U138" s="15"/>
      <c r="V138" s="11"/>
      <c r="W138" s="11"/>
      <c r="X138" s="11"/>
      <c r="Y138" s="11"/>
      <c r="Z138" s="11"/>
    </row>
    <row r="139">
      <c r="A139" s="18"/>
      <c r="B139" s="11"/>
      <c r="C139" s="11"/>
      <c r="D139" s="11"/>
      <c r="E139" s="11"/>
      <c r="F139" s="11"/>
      <c r="G139" s="11"/>
      <c r="H139" s="11"/>
      <c r="I139" s="11"/>
      <c r="J139" s="11"/>
      <c r="K139" s="11"/>
      <c r="L139" s="15"/>
      <c r="M139" s="15"/>
      <c r="N139" s="15"/>
      <c r="O139" s="15"/>
      <c r="P139" s="15"/>
      <c r="Q139" s="11"/>
      <c r="R139" s="11"/>
      <c r="S139" s="11"/>
      <c r="T139" s="11"/>
      <c r="U139" s="15"/>
      <c r="V139" s="11"/>
      <c r="W139" s="11"/>
      <c r="X139" s="11"/>
      <c r="Y139" s="11"/>
      <c r="Z139" s="11"/>
    </row>
    <row r="140">
      <c r="A140" s="18"/>
      <c r="B140" s="11"/>
      <c r="C140" s="11"/>
      <c r="D140" s="11"/>
      <c r="E140" s="11"/>
      <c r="F140" s="11"/>
      <c r="G140" s="11"/>
      <c r="H140" s="11"/>
      <c r="I140" s="11"/>
      <c r="J140" s="11"/>
      <c r="K140" s="11"/>
      <c r="L140" s="15"/>
      <c r="M140" s="15"/>
      <c r="N140" s="15"/>
      <c r="O140" s="15"/>
      <c r="P140" s="15"/>
      <c r="Q140" s="11"/>
      <c r="R140" s="11"/>
      <c r="S140" s="11"/>
      <c r="T140" s="11"/>
      <c r="U140" s="15"/>
      <c r="V140" s="11"/>
      <c r="W140" s="11"/>
      <c r="X140" s="11"/>
      <c r="Y140" s="11"/>
      <c r="Z140" s="11"/>
    </row>
    <row r="141">
      <c r="A141" s="18"/>
      <c r="B141" s="11"/>
      <c r="C141" s="11"/>
      <c r="D141" s="11"/>
      <c r="E141" s="11"/>
      <c r="F141" s="11"/>
      <c r="G141" s="11"/>
      <c r="H141" s="11"/>
      <c r="I141" s="11"/>
      <c r="J141" s="11"/>
      <c r="K141" s="11"/>
      <c r="L141" s="15"/>
      <c r="M141" s="15"/>
      <c r="N141" s="15"/>
      <c r="O141" s="15"/>
      <c r="P141" s="15"/>
      <c r="Q141" s="11"/>
      <c r="R141" s="11"/>
      <c r="S141" s="11"/>
      <c r="T141" s="11"/>
      <c r="U141" s="15"/>
      <c r="V141" s="11"/>
      <c r="W141" s="11"/>
      <c r="X141" s="11"/>
      <c r="Y141" s="11"/>
      <c r="Z141" s="11"/>
    </row>
    <row r="142">
      <c r="A142" s="18"/>
      <c r="B142" s="11"/>
      <c r="C142" s="11"/>
      <c r="D142" s="11"/>
      <c r="E142" s="11"/>
      <c r="F142" s="11"/>
      <c r="G142" s="11"/>
      <c r="H142" s="11"/>
      <c r="I142" s="11"/>
      <c r="J142" s="11"/>
      <c r="K142" s="11"/>
      <c r="L142" s="15"/>
      <c r="M142" s="15"/>
      <c r="N142" s="15"/>
      <c r="O142" s="15"/>
      <c r="P142" s="15"/>
      <c r="Q142" s="11"/>
      <c r="R142" s="11"/>
      <c r="S142" s="11"/>
      <c r="T142" s="11"/>
      <c r="U142" s="15"/>
      <c r="V142" s="11"/>
      <c r="W142" s="11"/>
      <c r="X142" s="11"/>
      <c r="Y142" s="11"/>
      <c r="Z142" s="11"/>
    </row>
    <row r="143">
      <c r="A143" s="18"/>
      <c r="B143" s="11"/>
      <c r="C143" s="11"/>
      <c r="D143" s="11"/>
      <c r="E143" s="11"/>
      <c r="F143" s="11"/>
      <c r="G143" s="11"/>
      <c r="H143" s="11"/>
      <c r="I143" s="11"/>
      <c r="J143" s="11"/>
      <c r="K143" s="11"/>
      <c r="L143" s="15"/>
      <c r="M143" s="15"/>
      <c r="N143" s="15"/>
      <c r="O143" s="15"/>
      <c r="P143" s="15"/>
      <c r="Q143" s="11"/>
      <c r="R143" s="11"/>
      <c r="S143" s="11"/>
      <c r="T143" s="11"/>
      <c r="U143" s="15"/>
      <c r="V143" s="11"/>
      <c r="W143" s="11"/>
      <c r="X143" s="11"/>
      <c r="Y143" s="11"/>
      <c r="Z143" s="11"/>
    </row>
    <row r="144">
      <c r="A144" s="18"/>
      <c r="B144" s="11"/>
      <c r="C144" s="11"/>
      <c r="D144" s="11"/>
      <c r="E144" s="11"/>
      <c r="F144" s="11"/>
      <c r="G144" s="11"/>
      <c r="H144" s="11"/>
      <c r="I144" s="11"/>
      <c r="J144" s="11"/>
      <c r="K144" s="11"/>
      <c r="L144" s="15"/>
      <c r="M144" s="15"/>
      <c r="N144" s="15"/>
      <c r="O144" s="15"/>
      <c r="P144" s="15"/>
      <c r="Q144" s="11"/>
      <c r="R144" s="11"/>
      <c r="S144" s="11"/>
      <c r="T144" s="11"/>
      <c r="U144" s="15"/>
      <c r="V144" s="11"/>
      <c r="W144" s="11"/>
      <c r="X144" s="11"/>
      <c r="Y144" s="11"/>
      <c r="Z144" s="11"/>
    </row>
    <row r="145">
      <c r="A145" s="18"/>
      <c r="B145" s="11"/>
      <c r="C145" s="11"/>
      <c r="D145" s="11"/>
      <c r="E145" s="11"/>
      <c r="F145" s="11"/>
      <c r="G145" s="11"/>
      <c r="H145" s="11"/>
      <c r="I145" s="11"/>
      <c r="J145" s="11"/>
      <c r="K145" s="11"/>
      <c r="L145" s="15"/>
      <c r="M145" s="15"/>
      <c r="N145" s="15"/>
      <c r="O145" s="15"/>
      <c r="P145" s="15"/>
      <c r="Q145" s="11"/>
      <c r="R145" s="11"/>
      <c r="S145" s="11"/>
      <c r="T145" s="11"/>
      <c r="U145" s="15"/>
      <c r="V145" s="11"/>
      <c r="W145" s="11"/>
      <c r="X145" s="11"/>
      <c r="Y145" s="11"/>
      <c r="Z145" s="11"/>
    </row>
    <row r="146">
      <c r="A146" s="18"/>
      <c r="B146" s="11"/>
      <c r="C146" s="11"/>
      <c r="D146" s="11"/>
      <c r="E146" s="11"/>
      <c r="F146" s="11"/>
      <c r="G146" s="11"/>
      <c r="H146" s="11"/>
      <c r="I146" s="11"/>
      <c r="J146" s="11"/>
      <c r="K146" s="11"/>
      <c r="L146" s="15"/>
      <c r="M146" s="15"/>
      <c r="N146" s="15"/>
      <c r="O146" s="15"/>
      <c r="P146" s="15"/>
      <c r="Q146" s="11"/>
      <c r="R146" s="11"/>
      <c r="S146" s="11"/>
      <c r="T146" s="11"/>
      <c r="U146" s="15"/>
      <c r="V146" s="11"/>
      <c r="W146" s="11"/>
      <c r="X146" s="11"/>
      <c r="Y146" s="11"/>
      <c r="Z146" s="11"/>
    </row>
    <row r="147">
      <c r="A147" s="18"/>
      <c r="B147" s="11"/>
      <c r="C147" s="11"/>
      <c r="D147" s="11"/>
      <c r="E147" s="11"/>
      <c r="F147" s="11"/>
      <c r="G147" s="11"/>
      <c r="H147" s="11"/>
      <c r="I147" s="11"/>
      <c r="J147" s="11"/>
      <c r="K147" s="11"/>
      <c r="L147" s="15"/>
      <c r="M147" s="15"/>
      <c r="N147" s="15"/>
      <c r="O147" s="15"/>
      <c r="P147" s="15"/>
      <c r="Q147" s="11"/>
      <c r="R147" s="11"/>
      <c r="S147" s="11"/>
      <c r="T147" s="11"/>
      <c r="U147" s="15"/>
      <c r="V147" s="11"/>
      <c r="W147" s="11"/>
      <c r="X147" s="11"/>
      <c r="Y147" s="11"/>
      <c r="Z147" s="11"/>
    </row>
    <row r="148">
      <c r="A148" s="18"/>
      <c r="B148" s="11"/>
      <c r="C148" s="11"/>
      <c r="D148" s="11"/>
      <c r="E148" s="11"/>
      <c r="F148" s="11"/>
      <c r="G148" s="11"/>
      <c r="H148" s="11"/>
      <c r="I148" s="11"/>
      <c r="J148" s="11"/>
      <c r="K148" s="11"/>
      <c r="L148" s="15"/>
      <c r="M148" s="15"/>
      <c r="N148" s="15"/>
      <c r="O148" s="15"/>
      <c r="P148" s="15"/>
      <c r="Q148" s="11"/>
      <c r="R148" s="11"/>
      <c r="S148" s="11"/>
      <c r="T148" s="11"/>
      <c r="U148" s="15"/>
      <c r="V148" s="11"/>
      <c r="W148" s="11"/>
      <c r="X148" s="11"/>
      <c r="Y148" s="11"/>
      <c r="Z148" s="11"/>
    </row>
    <row r="149">
      <c r="A149" s="18"/>
      <c r="B149" s="11"/>
      <c r="C149" s="11"/>
      <c r="D149" s="11"/>
      <c r="E149" s="11"/>
      <c r="F149" s="11"/>
      <c r="G149" s="11"/>
      <c r="H149" s="11"/>
      <c r="I149" s="11"/>
      <c r="J149" s="11"/>
      <c r="K149" s="11"/>
      <c r="L149" s="15"/>
      <c r="M149" s="15"/>
      <c r="N149" s="15"/>
      <c r="O149" s="15"/>
      <c r="P149" s="15"/>
      <c r="Q149" s="11"/>
      <c r="R149" s="11"/>
      <c r="S149" s="11"/>
      <c r="T149" s="11"/>
      <c r="U149" s="15"/>
      <c r="V149" s="11"/>
      <c r="W149" s="11"/>
      <c r="X149" s="11"/>
      <c r="Y149" s="11"/>
      <c r="Z149" s="11"/>
    </row>
    <row r="150">
      <c r="A150" s="18"/>
      <c r="B150" s="11"/>
      <c r="C150" s="11"/>
      <c r="D150" s="11"/>
      <c r="E150" s="11"/>
      <c r="F150" s="11"/>
      <c r="G150" s="11"/>
      <c r="H150" s="11"/>
      <c r="I150" s="11"/>
      <c r="J150" s="11"/>
      <c r="K150" s="11"/>
      <c r="L150" s="15"/>
      <c r="M150" s="15"/>
      <c r="N150" s="15"/>
      <c r="O150" s="15"/>
      <c r="P150" s="15"/>
      <c r="Q150" s="11"/>
      <c r="R150" s="11"/>
      <c r="S150" s="11"/>
      <c r="T150" s="11"/>
      <c r="U150" s="15"/>
      <c r="V150" s="11"/>
      <c r="W150" s="11"/>
      <c r="X150" s="11"/>
      <c r="Y150" s="11"/>
      <c r="Z150" s="11"/>
    </row>
    <row r="151">
      <c r="A151" s="18"/>
      <c r="B151" s="11"/>
      <c r="C151" s="11"/>
      <c r="D151" s="11"/>
      <c r="E151" s="11"/>
      <c r="F151" s="11"/>
      <c r="G151" s="11"/>
      <c r="H151" s="11"/>
      <c r="I151" s="11"/>
      <c r="J151" s="11"/>
      <c r="K151" s="11"/>
      <c r="L151" s="15"/>
      <c r="M151" s="15"/>
      <c r="N151" s="15"/>
      <c r="O151" s="15"/>
      <c r="P151" s="15"/>
      <c r="Q151" s="11"/>
      <c r="R151" s="11"/>
      <c r="S151" s="11"/>
      <c r="T151" s="11"/>
      <c r="U151" s="15"/>
      <c r="V151" s="11"/>
      <c r="W151" s="11"/>
      <c r="X151" s="11"/>
      <c r="Y151" s="11"/>
      <c r="Z151" s="11"/>
    </row>
    <row r="152">
      <c r="A152" s="18"/>
      <c r="B152" s="11"/>
      <c r="C152" s="11"/>
      <c r="D152" s="11"/>
      <c r="E152" s="11"/>
      <c r="F152" s="11"/>
      <c r="G152" s="11"/>
      <c r="H152" s="11"/>
      <c r="I152" s="11"/>
      <c r="J152" s="11"/>
      <c r="K152" s="11"/>
      <c r="L152" s="15"/>
      <c r="M152" s="15"/>
      <c r="N152" s="15"/>
      <c r="O152" s="15"/>
      <c r="P152" s="15"/>
      <c r="Q152" s="11"/>
      <c r="R152" s="11"/>
      <c r="S152" s="11"/>
      <c r="T152" s="11"/>
      <c r="U152" s="15"/>
      <c r="V152" s="11"/>
      <c r="W152" s="11"/>
      <c r="X152" s="11"/>
      <c r="Y152" s="11"/>
      <c r="Z152" s="11"/>
    </row>
    <row r="153">
      <c r="A153" s="18"/>
      <c r="B153" s="11"/>
      <c r="C153" s="11"/>
      <c r="D153" s="11"/>
      <c r="E153" s="11"/>
      <c r="F153" s="11"/>
      <c r="G153" s="11"/>
      <c r="H153" s="11"/>
      <c r="I153" s="11"/>
      <c r="J153" s="11"/>
      <c r="K153" s="11"/>
      <c r="L153" s="15"/>
      <c r="M153" s="15"/>
      <c r="N153" s="15"/>
      <c r="O153" s="15"/>
      <c r="P153" s="15"/>
      <c r="Q153" s="11"/>
      <c r="R153" s="11"/>
      <c r="S153" s="11"/>
      <c r="T153" s="11"/>
      <c r="U153" s="15"/>
      <c r="V153" s="11"/>
      <c r="W153" s="11"/>
      <c r="X153" s="11"/>
      <c r="Y153" s="11"/>
      <c r="Z153" s="11"/>
    </row>
    <row r="154">
      <c r="A154" s="18"/>
      <c r="B154" s="11"/>
      <c r="C154" s="11"/>
      <c r="D154" s="11"/>
      <c r="E154" s="11"/>
      <c r="F154" s="11"/>
      <c r="G154" s="11"/>
      <c r="H154" s="11"/>
      <c r="I154" s="11"/>
      <c r="J154" s="11"/>
      <c r="K154" s="11"/>
      <c r="L154" s="15"/>
      <c r="M154" s="15"/>
      <c r="N154" s="15"/>
      <c r="O154" s="15"/>
      <c r="P154" s="15"/>
      <c r="Q154" s="11"/>
      <c r="R154" s="11"/>
      <c r="S154" s="11"/>
      <c r="T154" s="11"/>
      <c r="U154" s="15"/>
      <c r="V154" s="11"/>
      <c r="W154" s="11"/>
      <c r="X154" s="11"/>
      <c r="Y154" s="11"/>
      <c r="Z154" s="11"/>
    </row>
    <row r="155">
      <c r="A155" s="18"/>
      <c r="B155" s="11"/>
      <c r="C155" s="11"/>
      <c r="D155" s="11"/>
      <c r="E155" s="11"/>
      <c r="F155" s="11"/>
      <c r="G155" s="11"/>
      <c r="H155" s="11"/>
      <c r="I155" s="11"/>
      <c r="J155" s="11"/>
      <c r="K155" s="11"/>
      <c r="L155" s="15"/>
      <c r="M155" s="15"/>
      <c r="N155" s="15"/>
      <c r="O155" s="15"/>
      <c r="P155" s="15"/>
      <c r="Q155" s="11"/>
      <c r="R155" s="11"/>
      <c r="S155" s="11"/>
      <c r="T155" s="11"/>
      <c r="U155" s="15"/>
      <c r="V155" s="11"/>
      <c r="W155" s="11"/>
      <c r="X155" s="11"/>
      <c r="Y155" s="11"/>
      <c r="Z155" s="11"/>
    </row>
    <row r="156">
      <c r="A156" s="18"/>
      <c r="B156" s="11"/>
      <c r="C156" s="11"/>
      <c r="D156" s="11"/>
      <c r="E156" s="11"/>
      <c r="F156" s="11"/>
      <c r="G156" s="11"/>
      <c r="H156" s="11"/>
      <c r="I156" s="11"/>
      <c r="J156" s="11"/>
      <c r="K156" s="11"/>
      <c r="L156" s="15"/>
      <c r="M156" s="15"/>
      <c r="N156" s="15"/>
      <c r="O156" s="15"/>
      <c r="P156" s="15"/>
      <c r="Q156" s="11"/>
      <c r="R156" s="11"/>
      <c r="S156" s="11"/>
      <c r="T156" s="11"/>
      <c r="U156" s="15"/>
      <c r="V156" s="11"/>
      <c r="W156" s="11"/>
      <c r="X156" s="11"/>
      <c r="Y156" s="11"/>
      <c r="Z156" s="11"/>
    </row>
    <row r="157">
      <c r="A157" s="18"/>
      <c r="B157" s="11"/>
      <c r="C157" s="11"/>
      <c r="D157" s="11"/>
      <c r="E157" s="11"/>
      <c r="F157" s="11"/>
      <c r="G157" s="11"/>
      <c r="H157" s="11"/>
      <c r="I157" s="11"/>
      <c r="J157" s="11"/>
      <c r="K157" s="11"/>
      <c r="L157" s="15"/>
      <c r="M157" s="15"/>
      <c r="N157" s="15"/>
      <c r="O157" s="15"/>
      <c r="P157" s="15"/>
      <c r="Q157" s="11"/>
      <c r="R157" s="11"/>
      <c r="S157" s="11"/>
      <c r="T157" s="11"/>
      <c r="U157" s="15"/>
      <c r="V157" s="11"/>
      <c r="W157" s="11"/>
      <c r="X157" s="11"/>
      <c r="Y157" s="11"/>
      <c r="Z157" s="11"/>
    </row>
    <row r="158">
      <c r="A158" s="18"/>
      <c r="B158" s="11"/>
      <c r="C158" s="11"/>
      <c r="D158" s="11"/>
      <c r="E158" s="11"/>
      <c r="F158" s="11"/>
      <c r="G158" s="11"/>
      <c r="H158" s="11"/>
      <c r="I158" s="11"/>
      <c r="J158" s="11"/>
      <c r="K158" s="11"/>
      <c r="L158" s="15"/>
      <c r="M158" s="15"/>
      <c r="N158" s="15"/>
      <c r="O158" s="15"/>
      <c r="P158" s="15"/>
      <c r="Q158" s="11"/>
      <c r="R158" s="11"/>
      <c r="S158" s="11"/>
      <c r="T158" s="11"/>
      <c r="U158" s="15"/>
      <c r="V158" s="11"/>
      <c r="W158" s="11"/>
      <c r="X158" s="11"/>
      <c r="Y158" s="11"/>
      <c r="Z158" s="11"/>
    </row>
    <row r="159">
      <c r="A159" s="18"/>
      <c r="B159" s="11"/>
      <c r="C159" s="11"/>
      <c r="D159" s="11"/>
      <c r="E159" s="11"/>
      <c r="F159" s="11"/>
      <c r="G159" s="11"/>
      <c r="H159" s="11"/>
      <c r="I159" s="11"/>
      <c r="J159" s="11"/>
      <c r="K159" s="11"/>
      <c r="L159" s="15"/>
      <c r="M159" s="15"/>
      <c r="N159" s="15"/>
      <c r="O159" s="15"/>
      <c r="P159" s="15"/>
      <c r="Q159" s="11"/>
      <c r="R159" s="11"/>
      <c r="S159" s="11"/>
      <c r="T159" s="11"/>
      <c r="U159" s="15"/>
      <c r="V159" s="11"/>
      <c r="W159" s="11"/>
      <c r="X159" s="11"/>
      <c r="Y159" s="11"/>
      <c r="Z159" s="11"/>
    </row>
    <row r="160">
      <c r="A160" s="18"/>
      <c r="B160" s="11"/>
      <c r="C160" s="11"/>
      <c r="D160" s="11"/>
      <c r="E160" s="11"/>
      <c r="F160" s="11"/>
      <c r="G160" s="11"/>
      <c r="H160" s="11"/>
      <c r="I160" s="11"/>
      <c r="J160" s="11"/>
      <c r="K160" s="11"/>
      <c r="L160" s="15"/>
      <c r="M160" s="15"/>
      <c r="N160" s="15"/>
      <c r="O160" s="15"/>
      <c r="P160" s="15"/>
      <c r="Q160" s="11"/>
      <c r="R160" s="11"/>
      <c r="S160" s="11"/>
      <c r="T160" s="11"/>
      <c r="U160" s="15"/>
      <c r="V160" s="11"/>
      <c r="W160" s="11"/>
      <c r="X160" s="11"/>
      <c r="Y160" s="11"/>
      <c r="Z160" s="11"/>
    </row>
    <row r="161">
      <c r="A161" s="18"/>
      <c r="B161" s="11"/>
      <c r="C161" s="11"/>
      <c r="D161" s="11"/>
      <c r="E161" s="11"/>
      <c r="F161" s="11"/>
      <c r="G161" s="11"/>
      <c r="H161" s="11"/>
      <c r="I161" s="11"/>
      <c r="J161" s="11"/>
      <c r="K161" s="11"/>
      <c r="L161" s="15"/>
      <c r="M161" s="15"/>
      <c r="N161" s="15"/>
      <c r="O161" s="15"/>
      <c r="P161" s="15"/>
      <c r="Q161" s="11"/>
      <c r="R161" s="11"/>
      <c r="S161" s="11"/>
      <c r="T161" s="11"/>
      <c r="U161" s="15"/>
      <c r="V161" s="11"/>
      <c r="W161" s="11"/>
      <c r="X161" s="11"/>
      <c r="Y161" s="11"/>
      <c r="Z161" s="11"/>
    </row>
    <row r="162">
      <c r="A162" s="18"/>
      <c r="B162" s="11"/>
      <c r="C162" s="11"/>
      <c r="D162" s="11"/>
      <c r="E162" s="11"/>
      <c r="F162" s="11"/>
      <c r="G162" s="11"/>
      <c r="H162" s="11"/>
      <c r="I162" s="11"/>
      <c r="J162" s="11"/>
      <c r="K162" s="11"/>
      <c r="L162" s="15"/>
      <c r="M162" s="15"/>
      <c r="N162" s="15"/>
      <c r="O162" s="15"/>
      <c r="P162" s="15"/>
      <c r="Q162" s="11"/>
      <c r="R162" s="11"/>
      <c r="S162" s="11"/>
      <c r="T162" s="11"/>
      <c r="U162" s="15"/>
      <c r="V162" s="11"/>
      <c r="W162" s="11"/>
      <c r="X162" s="11"/>
      <c r="Y162" s="11"/>
      <c r="Z162" s="11"/>
    </row>
    <row r="163">
      <c r="A163" s="18"/>
      <c r="B163" s="11"/>
      <c r="C163" s="11"/>
      <c r="D163" s="11"/>
      <c r="E163" s="11"/>
      <c r="F163" s="11"/>
      <c r="G163" s="11"/>
      <c r="H163" s="11"/>
      <c r="I163" s="11"/>
      <c r="J163" s="11"/>
      <c r="K163" s="11"/>
      <c r="L163" s="15"/>
      <c r="M163" s="15"/>
      <c r="N163" s="15"/>
      <c r="O163" s="15"/>
      <c r="P163" s="15"/>
      <c r="Q163" s="11"/>
      <c r="R163" s="11"/>
      <c r="S163" s="11"/>
      <c r="T163" s="11"/>
      <c r="U163" s="15"/>
      <c r="V163" s="11"/>
      <c r="W163" s="11"/>
      <c r="X163" s="11"/>
      <c r="Y163" s="11"/>
      <c r="Z163" s="11"/>
    </row>
    <row r="164">
      <c r="A164" s="18"/>
      <c r="B164" s="11"/>
      <c r="C164" s="11"/>
      <c r="D164" s="11"/>
      <c r="E164" s="11"/>
      <c r="F164" s="11"/>
      <c r="G164" s="11"/>
      <c r="H164" s="11"/>
      <c r="I164" s="11"/>
      <c r="J164" s="11"/>
      <c r="K164" s="11"/>
      <c r="L164" s="15"/>
      <c r="M164" s="15"/>
      <c r="N164" s="15"/>
      <c r="O164" s="15"/>
      <c r="P164" s="15"/>
      <c r="Q164" s="11"/>
      <c r="R164" s="11"/>
      <c r="S164" s="11"/>
      <c r="T164" s="11"/>
      <c r="U164" s="15"/>
      <c r="V164" s="11"/>
      <c r="W164" s="11"/>
      <c r="X164" s="11"/>
      <c r="Y164" s="11"/>
      <c r="Z164" s="11"/>
    </row>
    <row r="165">
      <c r="A165" s="18"/>
      <c r="B165" s="11"/>
      <c r="C165" s="11"/>
      <c r="D165" s="11"/>
      <c r="E165" s="11"/>
      <c r="F165" s="11"/>
      <c r="G165" s="11"/>
      <c r="H165" s="11"/>
      <c r="I165" s="11"/>
      <c r="J165" s="11"/>
      <c r="K165" s="11"/>
      <c r="L165" s="15"/>
      <c r="M165" s="15"/>
      <c r="N165" s="15"/>
      <c r="O165" s="15"/>
      <c r="P165" s="15"/>
      <c r="Q165" s="11"/>
      <c r="R165" s="11"/>
      <c r="S165" s="11"/>
      <c r="T165" s="11"/>
      <c r="U165" s="15"/>
      <c r="V165" s="11"/>
      <c r="W165" s="11"/>
      <c r="X165" s="11"/>
      <c r="Y165" s="11"/>
      <c r="Z165" s="11"/>
    </row>
    <row r="166">
      <c r="A166" s="18"/>
      <c r="B166" s="11"/>
      <c r="C166" s="11"/>
      <c r="D166" s="11"/>
      <c r="E166" s="11"/>
      <c r="F166" s="11"/>
      <c r="G166" s="11"/>
      <c r="H166" s="11"/>
      <c r="I166" s="11"/>
      <c r="J166" s="11"/>
      <c r="K166" s="11"/>
      <c r="L166" s="15"/>
      <c r="M166" s="15"/>
      <c r="N166" s="15"/>
      <c r="O166" s="15"/>
      <c r="P166" s="15"/>
      <c r="Q166" s="11"/>
      <c r="R166" s="11"/>
      <c r="S166" s="11"/>
      <c r="T166" s="11"/>
      <c r="U166" s="15"/>
      <c r="V166" s="11"/>
      <c r="W166" s="11"/>
      <c r="X166" s="11"/>
      <c r="Y166" s="11"/>
      <c r="Z166" s="11"/>
    </row>
    <row r="167">
      <c r="A167" s="18"/>
      <c r="B167" s="11"/>
      <c r="C167" s="11"/>
      <c r="D167" s="11"/>
      <c r="E167" s="11"/>
      <c r="F167" s="11"/>
      <c r="G167" s="11"/>
      <c r="H167" s="11"/>
      <c r="I167" s="11"/>
      <c r="J167" s="11"/>
      <c r="K167" s="11"/>
      <c r="L167" s="15"/>
      <c r="M167" s="15"/>
      <c r="N167" s="15"/>
      <c r="O167" s="15"/>
      <c r="P167" s="15"/>
      <c r="Q167" s="11"/>
      <c r="R167" s="11"/>
      <c r="S167" s="11"/>
      <c r="T167" s="11"/>
      <c r="U167" s="15"/>
      <c r="V167" s="11"/>
      <c r="W167" s="11"/>
      <c r="X167" s="11"/>
      <c r="Y167" s="11"/>
      <c r="Z167" s="11"/>
    </row>
    <row r="168">
      <c r="A168" s="18"/>
      <c r="B168" s="11"/>
      <c r="C168" s="11"/>
      <c r="D168" s="11"/>
      <c r="E168" s="11"/>
      <c r="F168" s="11"/>
      <c r="G168" s="11"/>
      <c r="H168" s="11"/>
      <c r="I168" s="11"/>
      <c r="J168" s="11"/>
      <c r="K168" s="11"/>
      <c r="L168" s="15"/>
      <c r="M168" s="15"/>
      <c r="N168" s="15"/>
      <c r="O168" s="15"/>
      <c r="P168" s="15"/>
      <c r="Q168" s="11"/>
      <c r="R168" s="11"/>
      <c r="S168" s="11"/>
      <c r="T168" s="11"/>
      <c r="U168" s="15"/>
      <c r="V168" s="11"/>
      <c r="W168" s="11"/>
      <c r="X168" s="11"/>
      <c r="Y168" s="11"/>
      <c r="Z168" s="11"/>
    </row>
    <row r="169">
      <c r="A169" s="18"/>
      <c r="B169" s="11"/>
      <c r="C169" s="11"/>
      <c r="D169" s="11"/>
      <c r="E169" s="11"/>
      <c r="F169" s="11"/>
      <c r="G169" s="11"/>
      <c r="H169" s="11"/>
      <c r="I169" s="11"/>
      <c r="J169" s="11"/>
      <c r="K169" s="11"/>
      <c r="L169" s="15"/>
      <c r="M169" s="15"/>
      <c r="N169" s="15"/>
      <c r="O169" s="15"/>
      <c r="P169" s="15"/>
      <c r="Q169" s="11"/>
      <c r="R169" s="11"/>
      <c r="S169" s="11"/>
      <c r="T169" s="11"/>
      <c r="U169" s="15"/>
      <c r="V169" s="11"/>
      <c r="W169" s="11"/>
      <c r="X169" s="11"/>
      <c r="Y169" s="11"/>
      <c r="Z169" s="11"/>
    </row>
    <row r="170">
      <c r="A170" s="18"/>
      <c r="B170" s="11"/>
      <c r="C170" s="11"/>
      <c r="D170" s="11"/>
      <c r="E170" s="11"/>
      <c r="F170" s="11"/>
      <c r="G170" s="11"/>
      <c r="H170" s="11"/>
      <c r="I170" s="11"/>
      <c r="J170" s="11"/>
      <c r="K170" s="11"/>
      <c r="L170" s="15"/>
      <c r="M170" s="15"/>
      <c r="N170" s="15"/>
      <c r="O170" s="15"/>
      <c r="P170" s="15"/>
      <c r="Q170" s="11"/>
      <c r="R170" s="11"/>
      <c r="S170" s="11"/>
      <c r="T170" s="11"/>
      <c r="U170" s="15"/>
      <c r="V170" s="11"/>
      <c r="W170" s="11"/>
      <c r="X170" s="11"/>
      <c r="Y170" s="11"/>
      <c r="Z170" s="11"/>
    </row>
    <row r="171">
      <c r="A171" s="18"/>
      <c r="B171" s="11"/>
      <c r="C171" s="11"/>
      <c r="D171" s="11"/>
      <c r="E171" s="11"/>
      <c r="F171" s="11"/>
      <c r="G171" s="11"/>
      <c r="H171" s="11"/>
      <c r="I171" s="11"/>
      <c r="J171" s="11"/>
      <c r="K171" s="11"/>
      <c r="L171" s="15"/>
      <c r="M171" s="15"/>
      <c r="N171" s="15"/>
      <c r="O171" s="15"/>
      <c r="P171" s="15"/>
      <c r="Q171" s="11"/>
      <c r="R171" s="11"/>
      <c r="S171" s="11"/>
      <c r="T171" s="11"/>
      <c r="U171" s="15"/>
      <c r="V171" s="11"/>
      <c r="W171" s="11"/>
      <c r="X171" s="11"/>
      <c r="Y171" s="11"/>
      <c r="Z171" s="11"/>
    </row>
    <row r="172">
      <c r="A172" s="18"/>
      <c r="B172" s="11"/>
      <c r="C172" s="11"/>
      <c r="D172" s="11"/>
      <c r="E172" s="11"/>
      <c r="F172" s="11"/>
      <c r="G172" s="11"/>
      <c r="H172" s="11"/>
      <c r="I172" s="11"/>
      <c r="J172" s="11"/>
      <c r="K172" s="11"/>
      <c r="L172" s="15"/>
      <c r="M172" s="15"/>
      <c r="N172" s="15"/>
      <c r="O172" s="15"/>
      <c r="P172" s="15"/>
      <c r="Q172" s="11"/>
      <c r="R172" s="11"/>
      <c r="S172" s="11"/>
      <c r="T172" s="11"/>
      <c r="U172" s="15"/>
      <c r="V172" s="11"/>
      <c r="W172" s="11"/>
      <c r="X172" s="11"/>
      <c r="Y172" s="11"/>
      <c r="Z172" s="11"/>
    </row>
    <row r="173">
      <c r="A173" s="18"/>
      <c r="B173" s="11"/>
      <c r="C173" s="11"/>
      <c r="D173" s="11"/>
      <c r="E173" s="11"/>
      <c r="F173" s="11"/>
      <c r="G173" s="11"/>
      <c r="H173" s="11"/>
      <c r="I173" s="11"/>
      <c r="J173" s="11"/>
      <c r="K173" s="11"/>
      <c r="L173" s="15"/>
      <c r="M173" s="15"/>
      <c r="N173" s="15"/>
      <c r="O173" s="15"/>
      <c r="P173" s="15"/>
      <c r="Q173" s="11"/>
      <c r="R173" s="11"/>
      <c r="S173" s="11"/>
      <c r="T173" s="11"/>
      <c r="U173" s="15"/>
      <c r="V173" s="11"/>
      <c r="W173" s="11"/>
      <c r="X173" s="11"/>
      <c r="Y173" s="11"/>
      <c r="Z173" s="11"/>
    </row>
    <row r="174">
      <c r="A174" s="18"/>
      <c r="B174" s="11"/>
      <c r="C174" s="11"/>
      <c r="D174" s="11"/>
      <c r="E174" s="11"/>
      <c r="F174" s="11"/>
      <c r="G174" s="11"/>
      <c r="H174" s="11"/>
      <c r="I174" s="11"/>
      <c r="J174" s="11"/>
      <c r="K174" s="11"/>
      <c r="L174" s="15"/>
      <c r="M174" s="15"/>
      <c r="N174" s="15"/>
      <c r="O174" s="15"/>
      <c r="P174" s="15"/>
      <c r="Q174" s="11"/>
      <c r="R174" s="11"/>
      <c r="S174" s="11"/>
      <c r="T174" s="11"/>
      <c r="U174" s="15"/>
      <c r="V174" s="11"/>
      <c r="W174" s="11"/>
      <c r="X174" s="11"/>
      <c r="Y174" s="11"/>
      <c r="Z174" s="11"/>
    </row>
    <row r="175">
      <c r="A175" s="18"/>
      <c r="B175" s="11"/>
      <c r="C175" s="11"/>
      <c r="D175" s="11"/>
      <c r="E175" s="11"/>
      <c r="F175" s="11"/>
      <c r="G175" s="11"/>
      <c r="H175" s="11"/>
      <c r="I175" s="11"/>
      <c r="J175" s="11"/>
      <c r="K175" s="11"/>
      <c r="L175" s="15"/>
      <c r="M175" s="15"/>
      <c r="N175" s="15"/>
      <c r="O175" s="15"/>
      <c r="P175" s="15"/>
      <c r="Q175" s="11"/>
      <c r="R175" s="11"/>
      <c r="S175" s="11"/>
      <c r="T175" s="11"/>
      <c r="U175" s="15"/>
      <c r="V175" s="11"/>
      <c r="W175" s="11"/>
      <c r="X175" s="11"/>
      <c r="Y175" s="11"/>
      <c r="Z175" s="11"/>
    </row>
    <row r="176">
      <c r="A176" s="18"/>
      <c r="B176" s="11"/>
      <c r="C176" s="11"/>
      <c r="D176" s="11"/>
      <c r="E176" s="11"/>
      <c r="F176" s="11"/>
      <c r="G176" s="11"/>
      <c r="H176" s="11"/>
      <c r="I176" s="11"/>
      <c r="J176" s="11"/>
      <c r="K176" s="11"/>
      <c r="L176" s="15"/>
      <c r="M176" s="15"/>
      <c r="N176" s="15"/>
      <c r="O176" s="15"/>
      <c r="P176" s="15"/>
      <c r="Q176" s="11"/>
      <c r="R176" s="11"/>
      <c r="S176" s="11"/>
      <c r="T176" s="11"/>
      <c r="U176" s="15"/>
      <c r="V176" s="11"/>
      <c r="W176" s="11"/>
      <c r="X176" s="11"/>
      <c r="Y176" s="11"/>
      <c r="Z176" s="11"/>
    </row>
    <row r="177">
      <c r="A177" s="18"/>
      <c r="B177" s="11"/>
      <c r="C177" s="11"/>
      <c r="D177" s="11"/>
      <c r="E177" s="11"/>
      <c r="F177" s="11"/>
      <c r="G177" s="11"/>
      <c r="H177" s="11"/>
      <c r="I177" s="11"/>
      <c r="J177" s="11"/>
      <c r="K177" s="11"/>
      <c r="L177" s="15"/>
      <c r="M177" s="15"/>
      <c r="N177" s="15"/>
      <c r="O177" s="15"/>
      <c r="P177" s="15"/>
      <c r="Q177" s="11"/>
      <c r="R177" s="11"/>
      <c r="S177" s="11"/>
      <c r="T177" s="11"/>
      <c r="U177" s="15"/>
      <c r="V177" s="11"/>
      <c r="W177" s="11"/>
      <c r="X177" s="11"/>
      <c r="Y177" s="11"/>
      <c r="Z177" s="11"/>
    </row>
    <row r="178">
      <c r="A178" s="18"/>
      <c r="B178" s="11"/>
      <c r="C178" s="11"/>
      <c r="D178" s="11"/>
      <c r="E178" s="11"/>
      <c r="F178" s="11"/>
      <c r="G178" s="11"/>
      <c r="H178" s="11"/>
      <c r="I178" s="11"/>
      <c r="J178" s="11"/>
      <c r="K178" s="11"/>
      <c r="L178" s="15"/>
      <c r="M178" s="15"/>
      <c r="N178" s="15"/>
      <c r="O178" s="15"/>
      <c r="P178" s="15"/>
      <c r="Q178" s="11"/>
      <c r="R178" s="11"/>
      <c r="S178" s="11"/>
      <c r="T178" s="11"/>
      <c r="U178" s="15"/>
      <c r="V178" s="11"/>
      <c r="W178" s="11"/>
      <c r="X178" s="11"/>
      <c r="Y178" s="11"/>
      <c r="Z178" s="11"/>
    </row>
    <row r="179">
      <c r="A179" s="18"/>
      <c r="B179" s="11"/>
      <c r="C179" s="11"/>
      <c r="D179" s="11"/>
      <c r="E179" s="11"/>
      <c r="F179" s="11"/>
      <c r="G179" s="11"/>
      <c r="H179" s="11"/>
      <c r="I179" s="11"/>
      <c r="J179" s="11"/>
      <c r="K179" s="11"/>
      <c r="L179" s="15"/>
      <c r="M179" s="15"/>
      <c r="N179" s="15"/>
      <c r="O179" s="15"/>
      <c r="P179" s="15"/>
      <c r="Q179" s="11"/>
      <c r="R179" s="11"/>
      <c r="S179" s="11"/>
      <c r="T179" s="11"/>
      <c r="U179" s="15"/>
      <c r="V179" s="11"/>
      <c r="W179" s="11"/>
      <c r="X179" s="11"/>
      <c r="Y179" s="11"/>
      <c r="Z179" s="11"/>
    </row>
    <row r="180">
      <c r="A180" s="18"/>
      <c r="B180" s="11"/>
      <c r="C180" s="11"/>
      <c r="D180" s="11"/>
      <c r="E180" s="11"/>
      <c r="F180" s="11"/>
      <c r="G180" s="11"/>
      <c r="H180" s="11"/>
      <c r="I180" s="11"/>
      <c r="J180" s="11"/>
      <c r="K180" s="11"/>
      <c r="L180" s="15"/>
      <c r="M180" s="15"/>
      <c r="N180" s="15"/>
      <c r="O180" s="15"/>
      <c r="P180" s="15"/>
      <c r="Q180" s="11"/>
      <c r="R180" s="11"/>
      <c r="S180" s="11"/>
      <c r="T180" s="11"/>
      <c r="U180" s="15"/>
      <c r="V180" s="11"/>
      <c r="W180" s="11"/>
      <c r="X180" s="11"/>
      <c r="Y180" s="11"/>
      <c r="Z180" s="11"/>
    </row>
    <row r="181">
      <c r="A181" s="18"/>
      <c r="B181" s="11"/>
      <c r="C181" s="11"/>
      <c r="D181" s="11"/>
      <c r="E181" s="11"/>
      <c r="F181" s="11"/>
      <c r="G181" s="11"/>
      <c r="H181" s="11"/>
      <c r="I181" s="11"/>
      <c r="J181" s="11"/>
      <c r="K181" s="11"/>
      <c r="L181" s="15"/>
      <c r="M181" s="15"/>
      <c r="N181" s="15"/>
      <c r="O181" s="15"/>
      <c r="P181" s="15"/>
      <c r="Q181" s="11"/>
      <c r="R181" s="11"/>
      <c r="S181" s="11"/>
      <c r="T181" s="11"/>
      <c r="U181" s="15"/>
      <c r="V181" s="11"/>
      <c r="W181" s="11"/>
      <c r="X181" s="11"/>
      <c r="Y181" s="11"/>
      <c r="Z181" s="11"/>
    </row>
    <row r="182">
      <c r="A182" s="18"/>
      <c r="B182" s="11"/>
      <c r="C182" s="11"/>
      <c r="D182" s="11"/>
      <c r="E182" s="11"/>
      <c r="F182" s="11"/>
      <c r="G182" s="11"/>
      <c r="H182" s="11"/>
      <c r="I182" s="11"/>
      <c r="J182" s="11"/>
      <c r="K182" s="11"/>
      <c r="L182" s="15"/>
      <c r="M182" s="15"/>
      <c r="N182" s="15"/>
      <c r="O182" s="15"/>
      <c r="P182" s="15"/>
      <c r="Q182" s="11"/>
      <c r="R182" s="11"/>
      <c r="S182" s="11"/>
      <c r="T182" s="11"/>
      <c r="U182" s="15"/>
      <c r="V182" s="11"/>
      <c r="W182" s="11"/>
      <c r="X182" s="11"/>
      <c r="Y182" s="11"/>
      <c r="Z182" s="11"/>
    </row>
    <row r="183">
      <c r="A183" s="18"/>
      <c r="B183" s="11"/>
      <c r="C183" s="11"/>
      <c r="D183" s="11"/>
      <c r="E183" s="11"/>
      <c r="F183" s="11"/>
      <c r="G183" s="11"/>
      <c r="H183" s="11"/>
      <c r="I183" s="11"/>
      <c r="J183" s="11"/>
      <c r="K183" s="11"/>
      <c r="L183" s="15"/>
      <c r="M183" s="15"/>
      <c r="N183" s="15"/>
      <c r="O183" s="15"/>
      <c r="P183" s="15"/>
      <c r="Q183" s="11"/>
      <c r="R183" s="11"/>
      <c r="S183" s="11"/>
      <c r="T183" s="11"/>
      <c r="U183" s="15"/>
      <c r="V183" s="11"/>
      <c r="W183" s="11"/>
      <c r="X183" s="11"/>
      <c r="Y183" s="11"/>
      <c r="Z183" s="11"/>
    </row>
    <row r="184">
      <c r="A184" s="18"/>
      <c r="B184" s="11"/>
      <c r="C184" s="11"/>
      <c r="D184" s="11"/>
      <c r="E184" s="11"/>
      <c r="F184" s="11"/>
      <c r="G184" s="11"/>
      <c r="H184" s="11"/>
      <c r="I184" s="11"/>
      <c r="J184" s="11"/>
      <c r="K184" s="11"/>
      <c r="L184" s="15"/>
      <c r="M184" s="15"/>
      <c r="N184" s="15"/>
      <c r="O184" s="15"/>
      <c r="P184" s="15"/>
      <c r="Q184" s="11"/>
      <c r="R184" s="11"/>
      <c r="S184" s="11"/>
      <c r="T184" s="11"/>
      <c r="U184" s="15"/>
      <c r="V184" s="11"/>
      <c r="W184" s="11"/>
      <c r="X184" s="11"/>
      <c r="Y184" s="11"/>
      <c r="Z184" s="11"/>
    </row>
    <row r="185">
      <c r="A185" s="18"/>
      <c r="B185" s="11"/>
      <c r="C185" s="11"/>
      <c r="D185" s="11"/>
      <c r="E185" s="11"/>
      <c r="F185" s="11"/>
      <c r="G185" s="11"/>
      <c r="H185" s="11"/>
      <c r="I185" s="11"/>
      <c r="J185" s="11"/>
      <c r="K185" s="11"/>
      <c r="L185" s="15"/>
      <c r="M185" s="15"/>
      <c r="N185" s="15"/>
      <c r="O185" s="15"/>
      <c r="P185" s="15"/>
      <c r="Q185" s="11"/>
      <c r="R185" s="11"/>
      <c r="S185" s="11"/>
      <c r="T185" s="11"/>
      <c r="U185" s="15"/>
      <c r="V185" s="11"/>
      <c r="W185" s="11"/>
      <c r="X185" s="11"/>
      <c r="Y185" s="11"/>
      <c r="Z185" s="11"/>
    </row>
    <row r="186">
      <c r="A186" s="18"/>
      <c r="B186" s="11"/>
      <c r="C186" s="11"/>
      <c r="D186" s="11"/>
      <c r="E186" s="11"/>
      <c r="F186" s="11"/>
      <c r="G186" s="11"/>
      <c r="H186" s="11"/>
      <c r="I186" s="11"/>
      <c r="J186" s="11"/>
      <c r="K186" s="11"/>
      <c r="L186" s="15"/>
      <c r="M186" s="15"/>
      <c r="N186" s="15"/>
      <c r="O186" s="15"/>
      <c r="P186" s="15"/>
      <c r="Q186" s="11"/>
      <c r="R186" s="11"/>
      <c r="S186" s="11"/>
      <c r="T186" s="11"/>
      <c r="U186" s="15"/>
      <c r="V186" s="11"/>
      <c r="W186" s="11"/>
      <c r="X186" s="11"/>
      <c r="Y186" s="11"/>
      <c r="Z186" s="11"/>
    </row>
    <row r="187">
      <c r="A187" s="18"/>
      <c r="B187" s="11"/>
      <c r="C187" s="11"/>
      <c r="D187" s="11"/>
      <c r="E187" s="11"/>
      <c r="F187" s="11"/>
      <c r="G187" s="11"/>
      <c r="H187" s="11"/>
      <c r="I187" s="11"/>
      <c r="J187" s="11"/>
      <c r="K187" s="11"/>
      <c r="L187" s="15"/>
      <c r="M187" s="15"/>
      <c r="N187" s="15"/>
      <c r="O187" s="15"/>
      <c r="P187" s="15"/>
      <c r="Q187" s="11"/>
      <c r="R187" s="11"/>
      <c r="S187" s="11"/>
      <c r="T187" s="11"/>
      <c r="U187" s="15"/>
      <c r="V187" s="11"/>
      <c r="W187" s="11"/>
      <c r="X187" s="11"/>
      <c r="Y187" s="11"/>
      <c r="Z187" s="11"/>
    </row>
    <row r="188">
      <c r="A188" s="18"/>
      <c r="B188" s="11"/>
      <c r="C188" s="11"/>
      <c r="D188" s="11"/>
      <c r="E188" s="11"/>
      <c r="F188" s="11"/>
      <c r="G188" s="11"/>
      <c r="H188" s="11"/>
      <c r="I188" s="11"/>
      <c r="J188" s="11"/>
      <c r="K188" s="11"/>
      <c r="L188" s="15"/>
      <c r="M188" s="15"/>
      <c r="N188" s="15"/>
      <c r="O188" s="15"/>
      <c r="P188" s="15"/>
      <c r="Q188" s="11"/>
      <c r="R188" s="11"/>
      <c r="S188" s="11"/>
      <c r="T188" s="11"/>
      <c r="U188" s="15"/>
      <c r="V188" s="11"/>
      <c r="W188" s="11"/>
      <c r="X188" s="11"/>
      <c r="Y188" s="11"/>
      <c r="Z188" s="11"/>
    </row>
    <row r="189">
      <c r="A189" s="18"/>
      <c r="B189" s="11"/>
      <c r="C189" s="11"/>
      <c r="D189" s="11"/>
      <c r="E189" s="11"/>
      <c r="F189" s="11"/>
      <c r="G189" s="11"/>
      <c r="H189" s="11"/>
      <c r="I189" s="11"/>
      <c r="J189" s="11"/>
      <c r="K189" s="11"/>
      <c r="L189" s="15"/>
      <c r="M189" s="15"/>
      <c r="N189" s="15"/>
      <c r="O189" s="15"/>
      <c r="P189" s="15"/>
      <c r="Q189" s="11"/>
      <c r="R189" s="11"/>
      <c r="S189" s="11"/>
      <c r="T189" s="11"/>
      <c r="U189" s="15"/>
      <c r="V189" s="11"/>
      <c r="W189" s="11"/>
      <c r="X189" s="11"/>
      <c r="Y189" s="11"/>
      <c r="Z189" s="11"/>
    </row>
    <row r="190">
      <c r="A190" s="18"/>
      <c r="B190" s="11"/>
      <c r="C190" s="11"/>
      <c r="D190" s="11"/>
      <c r="E190" s="11"/>
      <c r="F190" s="11"/>
      <c r="G190" s="11"/>
      <c r="H190" s="11"/>
      <c r="I190" s="11"/>
      <c r="J190" s="11"/>
      <c r="K190" s="11"/>
      <c r="L190" s="15"/>
      <c r="M190" s="15"/>
      <c r="N190" s="15"/>
      <c r="O190" s="15"/>
      <c r="P190" s="15"/>
      <c r="Q190" s="11"/>
      <c r="R190" s="11"/>
      <c r="S190" s="11"/>
      <c r="T190" s="11"/>
      <c r="U190" s="15"/>
      <c r="V190" s="11"/>
      <c r="W190" s="11"/>
      <c r="X190" s="11"/>
      <c r="Y190" s="11"/>
      <c r="Z190" s="11"/>
    </row>
    <row r="191">
      <c r="A191" s="18"/>
      <c r="B191" s="11"/>
      <c r="C191" s="11"/>
      <c r="D191" s="11"/>
      <c r="E191" s="11"/>
      <c r="F191" s="11"/>
      <c r="G191" s="11"/>
      <c r="H191" s="11"/>
      <c r="I191" s="11"/>
      <c r="J191" s="11"/>
      <c r="K191" s="11"/>
      <c r="L191" s="15"/>
      <c r="M191" s="15"/>
      <c r="N191" s="15"/>
      <c r="O191" s="15"/>
      <c r="P191" s="15"/>
      <c r="Q191" s="11"/>
      <c r="R191" s="11"/>
      <c r="S191" s="11"/>
      <c r="T191" s="11"/>
      <c r="U191" s="15"/>
      <c r="V191" s="11"/>
      <c r="W191" s="11"/>
      <c r="X191" s="11"/>
      <c r="Y191" s="11"/>
      <c r="Z191" s="11"/>
    </row>
    <row r="192">
      <c r="A192" s="18"/>
      <c r="B192" s="11"/>
      <c r="C192" s="11"/>
      <c r="D192" s="11"/>
      <c r="E192" s="11"/>
      <c r="F192" s="11"/>
      <c r="G192" s="11"/>
      <c r="H192" s="11"/>
      <c r="I192" s="11"/>
      <c r="J192" s="11"/>
      <c r="K192" s="11"/>
      <c r="L192" s="15"/>
      <c r="M192" s="15"/>
      <c r="N192" s="15"/>
      <c r="O192" s="15"/>
      <c r="P192" s="15"/>
      <c r="Q192" s="11"/>
      <c r="R192" s="11"/>
      <c r="S192" s="11"/>
      <c r="T192" s="11"/>
      <c r="U192" s="15"/>
      <c r="V192" s="11"/>
      <c r="W192" s="11"/>
      <c r="X192" s="11"/>
      <c r="Y192" s="11"/>
      <c r="Z192" s="11"/>
    </row>
    <row r="193">
      <c r="A193" s="18"/>
      <c r="B193" s="11"/>
      <c r="C193" s="11"/>
      <c r="D193" s="11"/>
      <c r="E193" s="11"/>
      <c r="F193" s="11"/>
      <c r="G193" s="11"/>
      <c r="H193" s="11"/>
      <c r="I193" s="11"/>
      <c r="J193" s="11"/>
      <c r="K193" s="11"/>
      <c r="L193" s="15"/>
      <c r="M193" s="15"/>
      <c r="N193" s="15"/>
      <c r="O193" s="15"/>
      <c r="P193" s="15"/>
      <c r="Q193" s="11"/>
      <c r="R193" s="11"/>
      <c r="S193" s="11"/>
      <c r="T193" s="11"/>
      <c r="U193" s="15"/>
      <c r="V193" s="11"/>
      <c r="W193" s="11"/>
      <c r="X193" s="11"/>
      <c r="Y193" s="11"/>
      <c r="Z193" s="11"/>
    </row>
    <row r="194">
      <c r="A194" s="18"/>
      <c r="B194" s="11"/>
      <c r="C194" s="11"/>
      <c r="D194" s="11"/>
      <c r="E194" s="11"/>
      <c r="F194" s="11"/>
      <c r="G194" s="11"/>
      <c r="H194" s="11"/>
      <c r="I194" s="11"/>
      <c r="J194" s="11"/>
      <c r="K194" s="11"/>
      <c r="L194" s="15"/>
      <c r="M194" s="15"/>
      <c r="N194" s="15"/>
      <c r="O194" s="15"/>
      <c r="P194" s="15"/>
      <c r="Q194" s="11"/>
      <c r="R194" s="11"/>
      <c r="S194" s="11"/>
      <c r="T194" s="11"/>
      <c r="U194" s="15"/>
      <c r="V194" s="11"/>
      <c r="W194" s="11"/>
      <c r="X194" s="11"/>
      <c r="Y194" s="11"/>
      <c r="Z194" s="11"/>
    </row>
    <row r="195">
      <c r="A195" s="18"/>
      <c r="B195" s="11"/>
      <c r="C195" s="11"/>
      <c r="D195" s="11"/>
      <c r="E195" s="11"/>
      <c r="F195" s="11"/>
      <c r="G195" s="11"/>
      <c r="H195" s="11"/>
      <c r="I195" s="11"/>
      <c r="J195" s="11"/>
      <c r="K195" s="11"/>
      <c r="L195" s="15"/>
      <c r="M195" s="15"/>
      <c r="N195" s="15"/>
      <c r="O195" s="15"/>
      <c r="P195" s="15"/>
      <c r="Q195" s="11"/>
      <c r="R195" s="11"/>
      <c r="S195" s="11"/>
      <c r="T195" s="11"/>
      <c r="U195" s="15"/>
      <c r="V195" s="11"/>
      <c r="W195" s="11"/>
      <c r="X195" s="11"/>
      <c r="Y195" s="11"/>
      <c r="Z195" s="11"/>
    </row>
    <row r="196">
      <c r="A196" s="18"/>
      <c r="B196" s="11"/>
      <c r="C196" s="11"/>
      <c r="D196" s="11"/>
      <c r="E196" s="11"/>
      <c r="F196" s="11"/>
      <c r="G196" s="11"/>
      <c r="H196" s="11"/>
      <c r="I196" s="11"/>
      <c r="J196" s="11"/>
      <c r="K196" s="11"/>
      <c r="L196" s="15"/>
      <c r="M196" s="15"/>
      <c r="N196" s="15"/>
      <c r="O196" s="15"/>
      <c r="P196" s="15"/>
      <c r="Q196" s="11"/>
      <c r="R196" s="11"/>
      <c r="S196" s="11"/>
      <c r="T196" s="11"/>
      <c r="U196" s="15"/>
      <c r="V196" s="11"/>
      <c r="W196" s="11"/>
      <c r="X196" s="11"/>
      <c r="Y196" s="11"/>
      <c r="Z196" s="11"/>
    </row>
    <row r="197">
      <c r="A197" s="18"/>
      <c r="B197" s="11"/>
      <c r="C197" s="11"/>
      <c r="D197" s="11"/>
      <c r="E197" s="11"/>
      <c r="F197" s="11"/>
      <c r="G197" s="11"/>
      <c r="H197" s="11"/>
      <c r="I197" s="11"/>
      <c r="J197" s="11"/>
      <c r="K197" s="11"/>
      <c r="L197" s="15"/>
      <c r="M197" s="15"/>
      <c r="N197" s="15"/>
      <c r="O197" s="15"/>
      <c r="P197" s="15"/>
      <c r="Q197" s="11"/>
      <c r="R197" s="11"/>
      <c r="S197" s="11"/>
      <c r="T197" s="11"/>
      <c r="U197" s="15"/>
      <c r="V197" s="11"/>
      <c r="W197" s="11"/>
      <c r="X197" s="11"/>
      <c r="Y197" s="11"/>
      <c r="Z197" s="11"/>
    </row>
    <row r="198">
      <c r="A198" s="18"/>
      <c r="B198" s="11"/>
      <c r="C198" s="11"/>
      <c r="D198" s="11"/>
      <c r="E198" s="11"/>
      <c r="F198" s="11"/>
      <c r="G198" s="11"/>
      <c r="H198" s="11"/>
      <c r="I198" s="11"/>
      <c r="J198" s="11"/>
      <c r="K198" s="11"/>
      <c r="L198" s="15"/>
      <c r="M198" s="15"/>
      <c r="N198" s="15"/>
      <c r="O198" s="15"/>
      <c r="P198" s="15"/>
      <c r="Q198" s="11"/>
      <c r="R198" s="11"/>
      <c r="S198" s="11"/>
      <c r="T198" s="11"/>
      <c r="U198" s="15"/>
      <c r="V198" s="11"/>
      <c r="W198" s="11"/>
      <c r="X198" s="11"/>
      <c r="Y198" s="11"/>
      <c r="Z198" s="11"/>
    </row>
    <row r="199">
      <c r="A199" s="18"/>
      <c r="B199" s="11"/>
      <c r="C199" s="11"/>
      <c r="D199" s="11"/>
      <c r="E199" s="11"/>
      <c r="F199" s="11"/>
      <c r="G199" s="11"/>
      <c r="H199" s="11"/>
      <c r="I199" s="11"/>
      <c r="J199" s="11"/>
      <c r="K199" s="11"/>
      <c r="L199" s="15"/>
      <c r="M199" s="15"/>
      <c r="N199" s="15"/>
      <c r="O199" s="15"/>
      <c r="P199" s="15"/>
      <c r="Q199" s="11"/>
      <c r="R199" s="11"/>
      <c r="S199" s="11"/>
      <c r="T199" s="11"/>
      <c r="U199" s="15"/>
      <c r="V199" s="11"/>
      <c r="W199" s="11"/>
      <c r="X199" s="11"/>
      <c r="Y199" s="11"/>
      <c r="Z199" s="11"/>
    </row>
    <row r="200">
      <c r="A200" s="18"/>
      <c r="B200" s="11"/>
      <c r="C200" s="11"/>
      <c r="D200" s="11"/>
      <c r="E200" s="11"/>
      <c r="F200" s="11"/>
      <c r="G200" s="11"/>
      <c r="H200" s="11"/>
      <c r="I200" s="11"/>
      <c r="J200" s="11"/>
      <c r="K200" s="11"/>
      <c r="L200" s="15"/>
      <c r="M200" s="15"/>
      <c r="N200" s="15"/>
      <c r="O200" s="15"/>
      <c r="P200" s="15"/>
      <c r="Q200" s="11"/>
      <c r="R200" s="11"/>
      <c r="S200" s="11"/>
      <c r="T200" s="11"/>
      <c r="U200" s="15"/>
      <c r="V200" s="11"/>
      <c r="W200" s="11"/>
      <c r="X200" s="11"/>
      <c r="Y200" s="11"/>
      <c r="Z200" s="11"/>
    </row>
    <row r="201">
      <c r="A201" s="18"/>
      <c r="B201" s="11"/>
      <c r="C201" s="11"/>
      <c r="D201" s="11"/>
      <c r="E201" s="11"/>
      <c r="F201" s="11"/>
      <c r="G201" s="11"/>
      <c r="H201" s="11"/>
      <c r="I201" s="11"/>
      <c r="J201" s="11"/>
      <c r="K201" s="11"/>
      <c r="L201" s="15"/>
      <c r="M201" s="15"/>
      <c r="N201" s="15"/>
      <c r="O201" s="15"/>
      <c r="P201" s="15"/>
      <c r="Q201" s="11"/>
      <c r="R201" s="11"/>
      <c r="S201" s="11"/>
      <c r="T201" s="11"/>
      <c r="U201" s="15"/>
      <c r="V201" s="11"/>
      <c r="W201" s="11"/>
      <c r="X201" s="11"/>
      <c r="Y201" s="11"/>
      <c r="Z201" s="11"/>
    </row>
    <row r="202">
      <c r="A202" s="18"/>
      <c r="B202" s="11"/>
      <c r="C202" s="11"/>
      <c r="D202" s="11"/>
      <c r="E202" s="11"/>
      <c r="F202" s="11"/>
      <c r="G202" s="11"/>
      <c r="H202" s="11"/>
      <c r="I202" s="11"/>
      <c r="J202" s="11"/>
      <c r="K202" s="11"/>
      <c r="L202" s="15"/>
      <c r="M202" s="15"/>
      <c r="N202" s="15"/>
      <c r="O202" s="15"/>
      <c r="P202" s="15"/>
      <c r="Q202" s="11"/>
      <c r="R202" s="11"/>
      <c r="S202" s="11"/>
      <c r="T202" s="11"/>
      <c r="U202" s="15"/>
      <c r="V202" s="11"/>
      <c r="W202" s="11"/>
      <c r="X202" s="11"/>
      <c r="Y202" s="11"/>
      <c r="Z202" s="11"/>
    </row>
    <row r="203">
      <c r="A203" s="18"/>
      <c r="B203" s="11"/>
      <c r="C203" s="11"/>
      <c r="D203" s="11"/>
      <c r="E203" s="11"/>
      <c r="F203" s="11"/>
      <c r="G203" s="11"/>
      <c r="H203" s="11"/>
      <c r="I203" s="11"/>
      <c r="J203" s="11"/>
      <c r="K203" s="11"/>
      <c r="L203" s="15"/>
      <c r="M203" s="15"/>
      <c r="N203" s="15"/>
      <c r="O203" s="15"/>
      <c r="P203" s="15"/>
      <c r="Q203" s="11"/>
      <c r="R203" s="11"/>
      <c r="S203" s="11"/>
      <c r="T203" s="11"/>
      <c r="U203" s="15"/>
      <c r="V203" s="11"/>
      <c r="W203" s="11"/>
      <c r="X203" s="11"/>
      <c r="Y203" s="11"/>
      <c r="Z203" s="11"/>
    </row>
    <row r="204">
      <c r="A204" s="18"/>
      <c r="B204" s="11"/>
      <c r="C204" s="11"/>
      <c r="D204" s="11"/>
      <c r="E204" s="11"/>
      <c r="F204" s="11"/>
      <c r="G204" s="11"/>
      <c r="H204" s="11"/>
      <c r="I204" s="11"/>
      <c r="J204" s="11"/>
      <c r="K204" s="11"/>
      <c r="L204" s="15"/>
      <c r="M204" s="15"/>
      <c r="N204" s="15"/>
      <c r="O204" s="15"/>
      <c r="P204" s="15"/>
      <c r="Q204" s="11"/>
      <c r="R204" s="11"/>
      <c r="S204" s="11"/>
      <c r="T204" s="11"/>
      <c r="U204" s="15"/>
      <c r="V204" s="11"/>
      <c r="W204" s="11"/>
      <c r="X204" s="11"/>
      <c r="Y204" s="11"/>
      <c r="Z204" s="11"/>
    </row>
    <row r="205">
      <c r="A205" s="18"/>
      <c r="B205" s="11"/>
      <c r="C205" s="11"/>
      <c r="D205" s="11"/>
      <c r="E205" s="11"/>
      <c r="F205" s="11"/>
      <c r="G205" s="11"/>
      <c r="H205" s="11"/>
      <c r="I205" s="11"/>
      <c r="J205" s="11"/>
      <c r="K205" s="11"/>
      <c r="L205" s="15"/>
      <c r="M205" s="15"/>
      <c r="N205" s="15"/>
      <c r="O205" s="15"/>
      <c r="P205" s="15"/>
      <c r="Q205" s="11"/>
      <c r="R205" s="11"/>
      <c r="S205" s="11"/>
      <c r="T205" s="11"/>
      <c r="U205" s="15"/>
      <c r="V205" s="11"/>
      <c r="W205" s="11"/>
      <c r="X205" s="11"/>
      <c r="Y205" s="11"/>
      <c r="Z205" s="11"/>
    </row>
    <row r="206">
      <c r="A206" s="18"/>
      <c r="B206" s="11"/>
      <c r="C206" s="11"/>
      <c r="D206" s="11"/>
      <c r="E206" s="11"/>
      <c r="F206" s="11"/>
      <c r="G206" s="11"/>
      <c r="H206" s="11"/>
      <c r="I206" s="11"/>
      <c r="J206" s="11"/>
      <c r="K206" s="11"/>
      <c r="L206" s="15"/>
      <c r="M206" s="15"/>
      <c r="N206" s="15"/>
      <c r="O206" s="15"/>
      <c r="P206" s="15"/>
      <c r="Q206" s="11"/>
      <c r="R206" s="11"/>
      <c r="S206" s="11"/>
      <c r="T206" s="11"/>
      <c r="U206" s="15"/>
      <c r="V206" s="11"/>
      <c r="W206" s="11"/>
      <c r="X206" s="11"/>
      <c r="Y206" s="11"/>
      <c r="Z206" s="11"/>
    </row>
    <row r="207">
      <c r="A207" s="18"/>
      <c r="B207" s="11"/>
      <c r="C207" s="11"/>
      <c r="D207" s="11"/>
      <c r="E207" s="11"/>
      <c r="F207" s="11"/>
      <c r="G207" s="11"/>
      <c r="H207" s="11"/>
      <c r="I207" s="11"/>
      <c r="J207" s="11"/>
      <c r="K207" s="11"/>
      <c r="L207" s="15"/>
      <c r="M207" s="15"/>
      <c r="N207" s="15"/>
      <c r="O207" s="15"/>
      <c r="P207" s="15"/>
      <c r="Q207" s="11"/>
      <c r="R207" s="11"/>
      <c r="S207" s="11"/>
      <c r="T207" s="11"/>
      <c r="U207" s="15"/>
      <c r="V207" s="11"/>
      <c r="W207" s="11"/>
      <c r="X207" s="11"/>
      <c r="Y207" s="11"/>
      <c r="Z207" s="11"/>
    </row>
    <row r="208">
      <c r="A208" s="18"/>
      <c r="B208" s="11"/>
      <c r="C208" s="11"/>
      <c r="D208" s="11"/>
      <c r="E208" s="11"/>
      <c r="F208" s="11"/>
      <c r="G208" s="11"/>
      <c r="H208" s="11"/>
      <c r="I208" s="11"/>
      <c r="J208" s="11"/>
      <c r="K208" s="11"/>
      <c r="L208" s="15"/>
      <c r="M208" s="15"/>
      <c r="N208" s="15"/>
      <c r="O208" s="15"/>
      <c r="P208" s="15"/>
      <c r="Q208" s="11"/>
      <c r="R208" s="11"/>
      <c r="S208" s="11"/>
      <c r="T208" s="11"/>
      <c r="U208" s="15"/>
      <c r="V208" s="11"/>
      <c r="W208" s="11"/>
      <c r="X208" s="11"/>
      <c r="Y208" s="11"/>
      <c r="Z208" s="11"/>
    </row>
    <row r="209">
      <c r="A209" s="18"/>
      <c r="B209" s="11"/>
      <c r="C209" s="11"/>
      <c r="D209" s="11"/>
      <c r="E209" s="11"/>
      <c r="F209" s="11"/>
      <c r="G209" s="11"/>
      <c r="H209" s="11"/>
      <c r="I209" s="11"/>
      <c r="J209" s="11"/>
      <c r="K209" s="11"/>
      <c r="L209" s="15"/>
      <c r="M209" s="15"/>
      <c r="N209" s="15"/>
      <c r="O209" s="15"/>
      <c r="P209" s="15"/>
      <c r="Q209" s="11"/>
      <c r="R209" s="11"/>
      <c r="S209" s="11"/>
      <c r="T209" s="11"/>
      <c r="U209" s="15"/>
      <c r="V209" s="11"/>
      <c r="W209" s="11"/>
      <c r="X209" s="11"/>
      <c r="Y209" s="11"/>
      <c r="Z209" s="11"/>
    </row>
    <row r="210">
      <c r="A210" s="18"/>
      <c r="B210" s="11"/>
      <c r="C210" s="11"/>
      <c r="D210" s="11"/>
      <c r="E210" s="11"/>
      <c r="F210" s="11"/>
      <c r="G210" s="11"/>
      <c r="H210" s="11"/>
      <c r="I210" s="11"/>
      <c r="J210" s="11"/>
      <c r="K210" s="11"/>
      <c r="L210" s="15"/>
      <c r="M210" s="15"/>
      <c r="N210" s="15"/>
      <c r="O210" s="15"/>
      <c r="P210" s="15"/>
      <c r="Q210" s="11"/>
      <c r="R210" s="11"/>
      <c r="S210" s="11"/>
      <c r="T210" s="11"/>
      <c r="U210" s="15"/>
      <c r="V210" s="11"/>
      <c r="W210" s="11"/>
      <c r="X210" s="11"/>
      <c r="Y210" s="11"/>
      <c r="Z210" s="11"/>
    </row>
    <row r="211">
      <c r="A211" s="18"/>
      <c r="B211" s="11"/>
      <c r="C211" s="11"/>
      <c r="D211" s="11"/>
      <c r="E211" s="11"/>
      <c r="F211" s="11"/>
      <c r="G211" s="11"/>
      <c r="H211" s="11"/>
      <c r="I211" s="11"/>
      <c r="J211" s="11"/>
      <c r="K211" s="11"/>
      <c r="L211" s="15"/>
      <c r="M211" s="15"/>
      <c r="N211" s="15"/>
      <c r="O211" s="15"/>
      <c r="P211" s="15"/>
      <c r="Q211" s="11"/>
      <c r="R211" s="11"/>
      <c r="S211" s="11"/>
      <c r="T211" s="11"/>
      <c r="U211" s="15"/>
      <c r="V211" s="11"/>
      <c r="W211" s="11"/>
      <c r="X211" s="11"/>
      <c r="Y211" s="11"/>
      <c r="Z211" s="11"/>
    </row>
    <row r="212">
      <c r="A212" s="18"/>
      <c r="B212" s="11"/>
      <c r="C212" s="11"/>
      <c r="D212" s="11"/>
      <c r="E212" s="11"/>
      <c r="F212" s="11"/>
      <c r="G212" s="11"/>
      <c r="H212" s="11"/>
      <c r="I212" s="11"/>
      <c r="J212" s="11"/>
      <c r="K212" s="11"/>
      <c r="L212" s="15"/>
      <c r="M212" s="15"/>
      <c r="N212" s="15"/>
      <c r="O212" s="15"/>
      <c r="P212" s="15"/>
      <c r="Q212" s="11"/>
      <c r="R212" s="11"/>
      <c r="S212" s="11"/>
      <c r="T212" s="11"/>
      <c r="U212" s="15"/>
      <c r="V212" s="11"/>
      <c r="W212" s="11"/>
      <c r="X212" s="11"/>
      <c r="Y212" s="11"/>
      <c r="Z212" s="11"/>
    </row>
    <row r="213">
      <c r="A213" s="18"/>
      <c r="B213" s="11"/>
      <c r="C213" s="11"/>
      <c r="D213" s="11"/>
      <c r="E213" s="11"/>
      <c r="F213" s="11"/>
      <c r="G213" s="11"/>
      <c r="H213" s="11"/>
      <c r="I213" s="11"/>
      <c r="J213" s="11"/>
      <c r="K213" s="11"/>
      <c r="L213" s="15"/>
      <c r="M213" s="15"/>
      <c r="N213" s="15"/>
      <c r="O213" s="15"/>
      <c r="P213" s="15"/>
      <c r="Q213" s="11"/>
      <c r="R213" s="11"/>
      <c r="S213" s="11"/>
      <c r="T213" s="11"/>
      <c r="U213" s="15"/>
      <c r="V213" s="11"/>
      <c r="W213" s="11"/>
      <c r="X213" s="11"/>
      <c r="Y213" s="11"/>
      <c r="Z213" s="11"/>
    </row>
    <row r="214">
      <c r="A214" s="18"/>
      <c r="B214" s="11"/>
      <c r="C214" s="11"/>
      <c r="D214" s="11"/>
      <c r="E214" s="11"/>
      <c r="F214" s="11"/>
      <c r="G214" s="11"/>
      <c r="H214" s="11"/>
      <c r="I214" s="11"/>
      <c r="J214" s="11"/>
      <c r="K214" s="11"/>
      <c r="L214" s="15"/>
      <c r="M214" s="15"/>
      <c r="N214" s="15"/>
      <c r="O214" s="15"/>
      <c r="P214" s="15"/>
      <c r="Q214" s="11"/>
      <c r="R214" s="11"/>
      <c r="S214" s="11"/>
      <c r="T214" s="11"/>
      <c r="U214" s="15"/>
      <c r="V214" s="11"/>
      <c r="W214" s="11"/>
      <c r="X214" s="11"/>
      <c r="Y214" s="11"/>
      <c r="Z214" s="11"/>
    </row>
    <row r="215">
      <c r="A215" s="18"/>
      <c r="B215" s="11"/>
      <c r="C215" s="11"/>
      <c r="D215" s="11"/>
      <c r="E215" s="11"/>
      <c r="F215" s="11"/>
      <c r="G215" s="11"/>
      <c r="H215" s="11"/>
      <c r="I215" s="11"/>
      <c r="J215" s="11"/>
      <c r="K215" s="11"/>
      <c r="L215" s="15"/>
      <c r="M215" s="15"/>
      <c r="N215" s="15"/>
      <c r="O215" s="15"/>
      <c r="P215" s="15"/>
      <c r="Q215" s="11"/>
      <c r="R215" s="11"/>
      <c r="S215" s="11"/>
      <c r="T215" s="11"/>
      <c r="U215" s="15"/>
      <c r="V215" s="11"/>
      <c r="W215" s="11"/>
      <c r="X215" s="11"/>
      <c r="Y215" s="11"/>
      <c r="Z215" s="11"/>
    </row>
    <row r="216">
      <c r="A216" s="18"/>
      <c r="B216" s="11"/>
      <c r="C216" s="11"/>
      <c r="D216" s="11"/>
      <c r="E216" s="11"/>
      <c r="F216" s="11"/>
      <c r="G216" s="11"/>
      <c r="H216" s="11"/>
      <c r="I216" s="11"/>
      <c r="J216" s="11"/>
      <c r="K216" s="11"/>
      <c r="L216" s="15"/>
      <c r="M216" s="15"/>
      <c r="N216" s="15"/>
      <c r="O216" s="15"/>
      <c r="P216" s="15"/>
      <c r="Q216" s="11"/>
      <c r="R216" s="11"/>
      <c r="S216" s="11"/>
      <c r="T216" s="11"/>
      <c r="U216" s="15"/>
      <c r="V216" s="11"/>
      <c r="W216" s="11"/>
      <c r="X216" s="11"/>
      <c r="Y216" s="11"/>
      <c r="Z216" s="11"/>
    </row>
    <row r="217">
      <c r="A217" s="18"/>
      <c r="B217" s="11"/>
      <c r="C217" s="11"/>
      <c r="D217" s="11"/>
      <c r="E217" s="11"/>
      <c r="F217" s="11"/>
      <c r="G217" s="11"/>
      <c r="H217" s="11"/>
      <c r="I217" s="11"/>
      <c r="J217" s="11"/>
      <c r="K217" s="11"/>
      <c r="L217" s="15"/>
      <c r="M217" s="15"/>
      <c r="N217" s="15"/>
      <c r="O217" s="15"/>
      <c r="P217" s="15"/>
      <c r="Q217" s="11"/>
      <c r="R217" s="11"/>
      <c r="S217" s="11"/>
      <c r="T217" s="11"/>
      <c r="U217" s="15"/>
      <c r="V217" s="11"/>
      <c r="W217" s="11"/>
      <c r="X217" s="11"/>
      <c r="Y217" s="11"/>
      <c r="Z217" s="11"/>
    </row>
    <row r="218">
      <c r="A218" s="18"/>
      <c r="B218" s="11"/>
      <c r="C218" s="11"/>
      <c r="D218" s="11"/>
      <c r="E218" s="11"/>
      <c r="F218" s="11"/>
      <c r="G218" s="11"/>
      <c r="H218" s="11"/>
      <c r="I218" s="11"/>
      <c r="J218" s="11"/>
      <c r="K218" s="11"/>
      <c r="L218" s="15"/>
      <c r="M218" s="15"/>
      <c r="N218" s="15"/>
      <c r="O218" s="15"/>
      <c r="P218" s="15"/>
      <c r="Q218" s="11"/>
      <c r="R218" s="11"/>
      <c r="S218" s="11"/>
      <c r="T218" s="11"/>
      <c r="U218" s="15"/>
      <c r="V218" s="11"/>
      <c r="W218" s="11"/>
      <c r="X218" s="11"/>
      <c r="Y218" s="11"/>
      <c r="Z218" s="11"/>
    </row>
    <row r="219">
      <c r="A219" s="18"/>
      <c r="B219" s="11"/>
      <c r="C219" s="11"/>
      <c r="D219" s="11"/>
      <c r="E219" s="11"/>
      <c r="F219" s="11"/>
      <c r="G219" s="11"/>
      <c r="H219" s="11"/>
      <c r="I219" s="11"/>
      <c r="J219" s="11"/>
      <c r="K219" s="11"/>
      <c r="L219" s="15"/>
      <c r="M219" s="15"/>
      <c r="N219" s="15"/>
      <c r="O219" s="15"/>
      <c r="P219" s="15"/>
      <c r="Q219" s="11"/>
      <c r="R219" s="11"/>
      <c r="S219" s="11"/>
      <c r="T219" s="11"/>
      <c r="U219" s="15"/>
      <c r="V219" s="11"/>
      <c r="W219" s="11"/>
      <c r="X219" s="11"/>
      <c r="Y219" s="11"/>
      <c r="Z219" s="11"/>
    </row>
    <row r="220">
      <c r="A220" s="18"/>
      <c r="B220" s="11"/>
      <c r="C220" s="11"/>
      <c r="D220" s="11"/>
      <c r="E220" s="11"/>
      <c r="F220" s="11"/>
      <c r="G220" s="11"/>
      <c r="H220" s="11"/>
      <c r="I220" s="11"/>
      <c r="J220" s="11"/>
      <c r="K220" s="11"/>
      <c r="L220" s="15"/>
      <c r="M220" s="15"/>
      <c r="N220" s="15"/>
      <c r="O220" s="15"/>
      <c r="P220" s="15"/>
      <c r="Q220" s="11"/>
      <c r="R220" s="11"/>
      <c r="S220" s="11"/>
      <c r="T220" s="11"/>
      <c r="U220" s="15"/>
      <c r="V220" s="11"/>
      <c r="W220" s="11"/>
      <c r="X220" s="11"/>
      <c r="Y220" s="11"/>
      <c r="Z220" s="11"/>
    </row>
    <row r="221">
      <c r="A221" s="18"/>
      <c r="B221" s="11"/>
      <c r="C221" s="11"/>
      <c r="D221" s="11"/>
      <c r="E221" s="11"/>
      <c r="F221" s="11"/>
      <c r="G221" s="11"/>
      <c r="H221" s="11"/>
      <c r="I221" s="11"/>
      <c r="J221" s="11"/>
      <c r="K221" s="11"/>
      <c r="L221" s="15"/>
      <c r="M221" s="15"/>
      <c r="N221" s="15"/>
      <c r="O221" s="15"/>
      <c r="P221" s="15"/>
      <c r="Q221" s="11"/>
      <c r="R221" s="11"/>
      <c r="S221" s="11"/>
      <c r="T221" s="11"/>
      <c r="U221" s="15"/>
      <c r="V221" s="11"/>
      <c r="W221" s="11"/>
      <c r="X221" s="11"/>
      <c r="Y221" s="11"/>
      <c r="Z221" s="11"/>
    </row>
    <row r="222">
      <c r="A222" s="18"/>
      <c r="B222" s="11"/>
      <c r="C222" s="11"/>
      <c r="D222" s="11"/>
      <c r="E222" s="11"/>
      <c r="F222" s="11"/>
      <c r="G222" s="11"/>
      <c r="H222" s="11"/>
      <c r="I222" s="11"/>
      <c r="J222" s="11"/>
      <c r="K222" s="11"/>
      <c r="L222" s="15"/>
      <c r="M222" s="15"/>
      <c r="N222" s="15"/>
      <c r="O222" s="15"/>
      <c r="P222" s="15"/>
      <c r="Q222" s="11"/>
      <c r="R222" s="11"/>
      <c r="S222" s="11"/>
      <c r="T222" s="11"/>
      <c r="U222" s="15"/>
      <c r="V222" s="11"/>
      <c r="W222" s="11"/>
      <c r="X222" s="11"/>
      <c r="Y222" s="11"/>
      <c r="Z222" s="11"/>
    </row>
    <row r="223">
      <c r="A223" s="18"/>
      <c r="B223" s="11"/>
      <c r="C223" s="11"/>
      <c r="D223" s="11"/>
      <c r="E223" s="11"/>
      <c r="F223" s="11"/>
      <c r="G223" s="11"/>
      <c r="H223" s="11"/>
      <c r="I223" s="11"/>
      <c r="J223" s="11"/>
      <c r="K223" s="11"/>
      <c r="L223" s="15"/>
      <c r="M223" s="15"/>
      <c r="N223" s="15"/>
      <c r="O223" s="15"/>
      <c r="P223" s="15"/>
      <c r="Q223" s="11"/>
      <c r="R223" s="11"/>
      <c r="S223" s="11"/>
      <c r="T223" s="11"/>
      <c r="U223" s="15"/>
      <c r="V223" s="11"/>
      <c r="W223" s="11"/>
      <c r="X223" s="11"/>
      <c r="Y223" s="11"/>
      <c r="Z223" s="11"/>
    </row>
    <row r="224">
      <c r="A224" s="18"/>
      <c r="B224" s="11"/>
      <c r="C224" s="11"/>
      <c r="D224" s="11"/>
      <c r="E224" s="11"/>
      <c r="F224" s="11"/>
      <c r="G224" s="11"/>
      <c r="H224" s="11"/>
      <c r="I224" s="11"/>
      <c r="J224" s="11"/>
      <c r="K224" s="11"/>
      <c r="L224" s="15"/>
      <c r="M224" s="15"/>
      <c r="N224" s="15"/>
      <c r="O224" s="15"/>
      <c r="P224" s="15"/>
      <c r="Q224" s="11"/>
      <c r="R224" s="11"/>
      <c r="S224" s="11"/>
      <c r="T224" s="11"/>
      <c r="U224" s="15"/>
      <c r="V224" s="11"/>
      <c r="W224" s="11"/>
      <c r="X224" s="11"/>
      <c r="Y224" s="11"/>
      <c r="Z224" s="11"/>
    </row>
    <row r="225">
      <c r="A225" s="18"/>
      <c r="B225" s="11"/>
      <c r="C225" s="11"/>
      <c r="D225" s="11"/>
      <c r="E225" s="11"/>
      <c r="F225" s="11"/>
      <c r="G225" s="11"/>
      <c r="H225" s="11"/>
      <c r="I225" s="11"/>
      <c r="J225" s="11"/>
      <c r="K225" s="11"/>
      <c r="L225" s="15"/>
      <c r="M225" s="15"/>
      <c r="N225" s="15"/>
      <c r="O225" s="15"/>
      <c r="P225" s="15"/>
      <c r="Q225" s="11"/>
      <c r="R225" s="11"/>
      <c r="S225" s="11"/>
      <c r="T225" s="11"/>
      <c r="U225" s="15"/>
      <c r="V225" s="11"/>
      <c r="W225" s="11"/>
      <c r="X225" s="11"/>
      <c r="Y225" s="11"/>
      <c r="Z225" s="11"/>
    </row>
    <row r="226">
      <c r="A226" s="18"/>
      <c r="B226" s="11"/>
      <c r="C226" s="11"/>
      <c r="D226" s="11"/>
      <c r="E226" s="11"/>
      <c r="F226" s="11"/>
      <c r="G226" s="11"/>
      <c r="H226" s="11"/>
      <c r="I226" s="11"/>
      <c r="J226" s="11"/>
      <c r="K226" s="11"/>
      <c r="L226" s="15"/>
      <c r="M226" s="15"/>
      <c r="N226" s="15"/>
      <c r="O226" s="15"/>
      <c r="P226" s="15"/>
      <c r="Q226" s="11"/>
      <c r="R226" s="11"/>
      <c r="S226" s="11"/>
      <c r="T226" s="11"/>
      <c r="U226" s="15"/>
      <c r="V226" s="11"/>
      <c r="W226" s="11"/>
      <c r="X226" s="11"/>
      <c r="Y226" s="11"/>
      <c r="Z226" s="11"/>
    </row>
    <row r="227">
      <c r="A227" s="18"/>
      <c r="B227" s="11"/>
      <c r="C227" s="11"/>
      <c r="D227" s="11"/>
      <c r="E227" s="11"/>
      <c r="F227" s="11"/>
      <c r="G227" s="11"/>
      <c r="H227" s="11"/>
      <c r="I227" s="11"/>
      <c r="J227" s="11"/>
      <c r="K227" s="11"/>
      <c r="L227" s="15"/>
      <c r="M227" s="15"/>
      <c r="N227" s="15"/>
      <c r="O227" s="15"/>
      <c r="P227" s="15"/>
      <c r="Q227" s="11"/>
      <c r="R227" s="11"/>
      <c r="S227" s="11"/>
      <c r="T227" s="11"/>
      <c r="U227" s="15"/>
      <c r="V227" s="11"/>
      <c r="W227" s="11"/>
      <c r="X227" s="11"/>
      <c r="Y227" s="11"/>
      <c r="Z227" s="11"/>
    </row>
    <row r="228">
      <c r="A228" s="18"/>
      <c r="B228" s="11"/>
      <c r="C228" s="11"/>
      <c r="D228" s="11"/>
      <c r="E228" s="11"/>
      <c r="F228" s="11"/>
      <c r="G228" s="11"/>
      <c r="H228" s="11"/>
      <c r="I228" s="11"/>
      <c r="J228" s="11"/>
      <c r="K228" s="11"/>
      <c r="L228" s="15"/>
      <c r="M228" s="15"/>
      <c r="N228" s="15"/>
      <c r="O228" s="15"/>
      <c r="P228" s="15"/>
      <c r="Q228" s="11"/>
      <c r="R228" s="11"/>
      <c r="S228" s="11"/>
      <c r="T228" s="11"/>
      <c r="U228" s="15"/>
      <c r="V228" s="11"/>
      <c r="W228" s="11"/>
      <c r="X228" s="11"/>
      <c r="Y228" s="11"/>
      <c r="Z228" s="11"/>
    </row>
    <row r="229">
      <c r="A229" s="18"/>
      <c r="B229" s="11"/>
      <c r="C229" s="11"/>
      <c r="D229" s="11"/>
      <c r="E229" s="11"/>
      <c r="F229" s="11"/>
      <c r="G229" s="11"/>
      <c r="H229" s="11"/>
      <c r="I229" s="11"/>
      <c r="J229" s="11"/>
      <c r="K229" s="11"/>
      <c r="L229" s="15"/>
      <c r="M229" s="15"/>
      <c r="N229" s="15"/>
      <c r="O229" s="15"/>
      <c r="P229" s="15"/>
      <c r="Q229" s="11"/>
      <c r="R229" s="11"/>
      <c r="S229" s="11"/>
      <c r="T229" s="11"/>
      <c r="U229" s="15"/>
      <c r="V229" s="11"/>
      <c r="W229" s="11"/>
      <c r="X229" s="11"/>
      <c r="Y229" s="11"/>
      <c r="Z229" s="11"/>
    </row>
    <row r="230">
      <c r="A230" s="18"/>
      <c r="B230" s="11"/>
      <c r="C230" s="11"/>
      <c r="D230" s="11"/>
      <c r="E230" s="11"/>
      <c r="F230" s="11"/>
      <c r="G230" s="11"/>
      <c r="H230" s="11"/>
      <c r="I230" s="11"/>
      <c r="J230" s="11"/>
      <c r="K230" s="11"/>
      <c r="L230" s="15"/>
      <c r="M230" s="15"/>
      <c r="N230" s="15"/>
      <c r="O230" s="15"/>
      <c r="P230" s="15"/>
      <c r="Q230" s="11"/>
      <c r="R230" s="11"/>
      <c r="S230" s="11"/>
      <c r="T230" s="11"/>
      <c r="U230" s="15"/>
      <c r="V230" s="11"/>
      <c r="W230" s="11"/>
      <c r="X230" s="11"/>
      <c r="Y230" s="11"/>
      <c r="Z230" s="11"/>
    </row>
    <row r="231">
      <c r="A231" s="18"/>
      <c r="B231" s="11"/>
      <c r="C231" s="11"/>
      <c r="D231" s="11"/>
      <c r="E231" s="11"/>
      <c r="F231" s="11"/>
      <c r="G231" s="11"/>
      <c r="H231" s="11"/>
      <c r="I231" s="11"/>
      <c r="J231" s="11"/>
      <c r="K231" s="11"/>
      <c r="L231" s="15"/>
      <c r="M231" s="15"/>
      <c r="N231" s="15"/>
      <c r="O231" s="15"/>
      <c r="P231" s="15"/>
      <c r="Q231" s="11"/>
      <c r="R231" s="11"/>
      <c r="S231" s="11"/>
      <c r="T231" s="11"/>
      <c r="U231" s="15"/>
      <c r="V231" s="11"/>
      <c r="W231" s="11"/>
      <c r="X231" s="11"/>
      <c r="Y231" s="11"/>
      <c r="Z231" s="11"/>
    </row>
    <row r="232">
      <c r="A232" s="18"/>
      <c r="B232" s="11"/>
      <c r="C232" s="11"/>
      <c r="D232" s="11"/>
      <c r="E232" s="11"/>
      <c r="F232" s="11"/>
      <c r="G232" s="11"/>
      <c r="H232" s="11"/>
      <c r="I232" s="11"/>
      <c r="J232" s="11"/>
      <c r="K232" s="11"/>
      <c r="L232" s="15"/>
      <c r="M232" s="15"/>
      <c r="N232" s="15"/>
      <c r="O232" s="15"/>
      <c r="P232" s="15"/>
      <c r="Q232" s="11"/>
      <c r="R232" s="11"/>
      <c r="S232" s="11"/>
      <c r="T232" s="11"/>
      <c r="U232" s="15"/>
      <c r="V232" s="11"/>
      <c r="W232" s="11"/>
      <c r="X232" s="11"/>
      <c r="Y232" s="11"/>
      <c r="Z232" s="11"/>
    </row>
    <row r="233">
      <c r="A233" s="18"/>
      <c r="B233" s="11"/>
      <c r="C233" s="11"/>
      <c r="D233" s="11"/>
      <c r="E233" s="11"/>
      <c r="F233" s="11"/>
      <c r="G233" s="11"/>
      <c r="H233" s="11"/>
      <c r="I233" s="11"/>
      <c r="J233" s="11"/>
      <c r="K233" s="11"/>
      <c r="L233" s="15"/>
      <c r="M233" s="15"/>
      <c r="N233" s="15"/>
      <c r="O233" s="15"/>
      <c r="P233" s="15"/>
      <c r="Q233" s="11"/>
      <c r="R233" s="11"/>
      <c r="S233" s="11"/>
      <c r="T233" s="11"/>
      <c r="U233" s="15"/>
      <c r="V233" s="11"/>
      <c r="W233" s="11"/>
      <c r="X233" s="11"/>
      <c r="Y233" s="11"/>
      <c r="Z233" s="11"/>
    </row>
    <row r="234">
      <c r="A234" s="18"/>
      <c r="B234" s="11"/>
      <c r="C234" s="11"/>
      <c r="D234" s="11"/>
      <c r="E234" s="11"/>
      <c r="F234" s="11"/>
      <c r="G234" s="11"/>
      <c r="H234" s="11"/>
      <c r="I234" s="11"/>
      <c r="J234" s="11"/>
      <c r="K234" s="11"/>
      <c r="L234" s="15"/>
      <c r="M234" s="15"/>
      <c r="N234" s="15"/>
      <c r="O234" s="15"/>
      <c r="P234" s="15"/>
      <c r="Q234" s="11"/>
      <c r="R234" s="11"/>
      <c r="S234" s="11"/>
      <c r="T234" s="11"/>
      <c r="U234" s="15"/>
      <c r="V234" s="11"/>
      <c r="W234" s="11"/>
      <c r="X234" s="11"/>
      <c r="Y234" s="11"/>
      <c r="Z234" s="11"/>
    </row>
    <row r="235">
      <c r="A235" s="18"/>
      <c r="B235" s="11"/>
      <c r="C235" s="11"/>
      <c r="D235" s="11"/>
      <c r="E235" s="11"/>
      <c r="F235" s="11"/>
      <c r="G235" s="11"/>
      <c r="H235" s="11"/>
      <c r="I235" s="11"/>
      <c r="J235" s="11"/>
      <c r="K235" s="11"/>
      <c r="L235" s="15"/>
      <c r="M235" s="15"/>
      <c r="N235" s="15"/>
      <c r="O235" s="15"/>
      <c r="P235" s="15"/>
      <c r="Q235" s="11"/>
      <c r="R235" s="11"/>
      <c r="S235" s="11"/>
      <c r="T235" s="11"/>
      <c r="U235" s="15"/>
      <c r="V235" s="11"/>
      <c r="W235" s="11"/>
      <c r="X235" s="11"/>
      <c r="Y235" s="11"/>
      <c r="Z235" s="11"/>
    </row>
    <row r="236">
      <c r="A236" s="18"/>
      <c r="B236" s="11"/>
      <c r="C236" s="11"/>
      <c r="D236" s="11"/>
      <c r="E236" s="11"/>
      <c r="F236" s="11"/>
      <c r="G236" s="11"/>
      <c r="H236" s="11"/>
      <c r="I236" s="11"/>
      <c r="J236" s="11"/>
      <c r="K236" s="11"/>
      <c r="L236" s="15"/>
      <c r="M236" s="15"/>
      <c r="N236" s="15"/>
      <c r="O236" s="15"/>
      <c r="P236" s="15"/>
      <c r="Q236" s="11"/>
      <c r="R236" s="11"/>
      <c r="S236" s="11"/>
      <c r="T236" s="11"/>
      <c r="U236" s="15"/>
      <c r="V236" s="11"/>
      <c r="W236" s="11"/>
      <c r="X236" s="11"/>
      <c r="Y236" s="11"/>
      <c r="Z236" s="11"/>
    </row>
    <row r="237">
      <c r="A237" s="18"/>
      <c r="B237" s="11"/>
      <c r="C237" s="11"/>
      <c r="D237" s="11"/>
      <c r="E237" s="11"/>
      <c r="F237" s="11"/>
      <c r="G237" s="11"/>
      <c r="H237" s="11"/>
      <c r="I237" s="11"/>
      <c r="J237" s="11"/>
      <c r="K237" s="11"/>
      <c r="L237" s="15"/>
      <c r="M237" s="15"/>
      <c r="N237" s="15"/>
      <c r="O237" s="15"/>
      <c r="P237" s="15"/>
      <c r="Q237" s="11"/>
      <c r="R237" s="11"/>
      <c r="S237" s="11"/>
      <c r="T237" s="11"/>
      <c r="U237" s="15"/>
      <c r="V237" s="11"/>
      <c r="W237" s="11"/>
      <c r="X237" s="11"/>
      <c r="Y237" s="11"/>
      <c r="Z237" s="11"/>
    </row>
    <row r="238">
      <c r="A238" s="18"/>
      <c r="B238" s="11"/>
      <c r="C238" s="11"/>
      <c r="D238" s="11"/>
      <c r="E238" s="11"/>
      <c r="F238" s="11"/>
      <c r="G238" s="11"/>
      <c r="H238" s="11"/>
      <c r="I238" s="11"/>
      <c r="J238" s="11"/>
      <c r="K238" s="11"/>
      <c r="L238" s="15"/>
      <c r="M238" s="15"/>
      <c r="N238" s="15"/>
      <c r="O238" s="15"/>
      <c r="P238" s="15"/>
      <c r="Q238" s="11"/>
      <c r="R238" s="11"/>
      <c r="S238" s="11"/>
      <c r="T238" s="11"/>
      <c r="U238" s="15"/>
      <c r="V238" s="11"/>
      <c r="W238" s="11"/>
      <c r="X238" s="11"/>
      <c r="Y238" s="11"/>
      <c r="Z238" s="11"/>
    </row>
    <row r="239">
      <c r="A239" s="18"/>
      <c r="B239" s="11"/>
      <c r="C239" s="11"/>
      <c r="D239" s="11"/>
      <c r="E239" s="11"/>
      <c r="F239" s="11"/>
      <c r="G239" s="11"/>
      <c r="H239" s="11"/>
      <c r="I239" s="11"/>
      <c r="J239" s="11"/>
      <c r="K239" s="11"/>
      <c r="L239" s="15"/>
      <c r="M239" s="15"/>
      <c r="N239" s="15"/>
      <c r="O239" s="15"/>
      <c r="P239" s="15"/>
      <c r="Q239" s="11"/>
      <c r="R239" s="11"/>
      <c r="S239" s="11"/>
      <c r="T239" s="11"/>
      <c r="U239" s="15"/>
      <c r="V239" s="11"/>
      <c r="W239" s="11"/>
      <c r="X239" s="11"/>
      <c r="Y239" s="11"/>
      <c r="Z239" s="11"/>
    </row>
    <row r="240">
      <c r="A240" s="18"/>
      <c r="B240" s="11"/>
      <c r="C240" s="11"/>
      <c r="D240" s="11"/>
      <c r="E240" s="11"/>
      <c r="F240" s="11"/>
      <c r="G240" s="11"/>
      <c r="H240" s="11"/>
      <c r="I240" s="11"/>
      <c r="J240" s="11"/>
      <c r="K240" s="11"/>
      <c r="L240" s="15"/>
      <c r="M240" s="15"/>
      <c r="N240" s="15"/>
      <c r="O240" s="15"/>
      <c r="P240" s="15"/>
      <c r="Q240" s="11"/>
      <c r="R240" s="11"/>
      <c r="S240" s="11"/>
      <c r="T240" s="11"/>
      <c r="U240" s="15"/>
      <c r="V240" s="11"/>
      <c r="W240" s="11"/>
      <c r="X240" s="11"/>
      <c r="Y240" s="11"/>
      <c r="Z240" s="11"/>
    </row>
    <row r="241">
      <c r="A241" s="18"/>
      <c r="B241" s="11"/>
      <c r="C241" s="11"/>
      <c r="D241" s="11"/>
      <c r="E241" s="11"/>
      <c r="F241" s="11"/>
      <c r="G241" s="11"/>
      <c r="H241" s="11"/>
      <c r="I241" s="11"/>
      <c r="J241" s="11"/>
      <c r="K241" s="11"/>
      <c r="L241" s="15"/>
      <c r="M241" s="15"/>
      <c r="N241" s="15"/>
      <c r="O241" s="15"/>
      <c r="P241" s="15"/>
      <c r="Q241" s="11"/>
      <c r="R241" s="11"/>
      <c r="S241" s="11"/>
      <c r="T241" s="11"/>
      <c r="U241" s="15"/>
      <c r="V241" s="11"/>
      <c r="W241" s="11"/>
      <c r="X241" s="11"/>
      <c r="Y241" s="11"/>
      <c r="Z241" s="11"/>
    </row>
    <row r="242">
      <c r="A242" s="18"/>
      <c r="B242" s="11"/>
      <c r="C242" s="11"/>
      <c r="D242" s="11"/>
      <c r="E242" s="11"/>
      <c r="F242" s="11"/>
      <c r="G242" s="11"/>
      <c r="H242" s="11"/>
      <c r="I242" s="11"/>
      <c r="J242" s="11"/>
      <c r="K242" s="11"/>
      <c r="L242" s="15"/>
      <c r="M242" s="15"/>
      <c r="N242" s="15"/>
      <c r="O242" s="15"/>
      <c r="P242" s="15"/>
      <c r="Q242" s="11"/>
      <c r="R242" s="11"/>
      <c r="S242" s="11"/>
      <c r="T242" s="11"/>
      <c r="U242" s="15"/>
      <c r="V242" s="11"/>
      <c r="W242" s="11"/>
      <c r="X242" s="11"/>
      <c r="Y242" s="11"/>
      <c r="Z242" s="11"/>
    </row>
    <row r="243">
      <c r="A243" s="18"/>
      <c r="B243" s="11"/>
      <c r="C243" s="11"/>
      <c r="D243" s="11"/>
      <c r="E243" s="11"/>
      <c r="F243" s="11"/>
      <c r="G243" s="11"/>
      <c r="H243" s="11"/>
      <c r="I243" s="11"/>
      <c r="J243" s="11"/>
      <c r="K243" s="11"/>
      <c r="L243" s="15"/>
      <c r="M243" s="15"/>
      <c r="N243" s="15"/>
      <c r="O243" s="15"/>
      <c r="P243" s="15"/>
      <c r="Q243" s="11"/>
      <c r="R243" s="11"/>
      <c r="S243" s="11"/>
      <c r="T243" s="11"/>
      <c r="U243" s="15"/>
      <c r="V243" s="11"/>
      <c r="W243" s="11"/>
      <c r="X243" s="11"/>
      <c r="Y243" s="11"/>
      <c r="Z243" s="11"/>
    </row>
    <row r="244">
      <c r="A244" s="18"/>
      <c r="B244" s="11"/>
      <c r="C244" s="11"/>
      <c r="D244" s="11"/>
      <c r="E244" s="11"/>
      <c r="F244" s="11"/>
      <c r="G244" s="11"/>
      <c r="H244" s="11"/>
      <c r="I244" s="11"/>
      <c r="J244" s="11"/>
      <c r="K244" s="11"/>
      <c r="L244" s="15"/>
      <c r="M244" s="15"/>
      <c r="N244" s="15"/>
      <c r="O244" s="15"/>
      <c r="P244" s="15"/>
      <c r="Q244" s="11"/>
      <c r="R244" s="11"/>
      <c r="S244" s="11"/>
      <c r="T244" s="11"/>
      <c r="U244" s="15"/>
      <c r="V244" s="11"/>
      <c r="W244" s="11"/>
      <c r="X244" s="11"/>
      <c r="Y244" s="11"/>
      <c r="Z244" s="11"/>
    </row>
    <row r="245">
      <c r="A245" s="18"/>
      <c r="B245" s="11"/>
      <c r="C245" s="11"/>
      <c r="D245" s="11"/>
      <c r="E245" s="11"/>
      <c r="F245" s="11"/>
      <c r="G245" s="11"/>
      <c r="H245" s="11"/>
      <c r="I245" s="11"/>
      <c r="J245" s="11"/>
      <c r="K245" s="11"/>
      <c r="L245" s="15"/>
      <c r="M245" s="15"/>
      <c r="N245" s="15"/>
      <c r="O245" s="15"/>
      <c r="P245" s="15"/>
      <c r="Q245" s="11"/>
      <c r="R245" s="11"/>
      <c r="S245" s="11"/>
      <c r="T245" s="11"/>
      <c r="U245" s="15"/>
      <c r="V245" s="11"/>
      <c r="W245" s="11"/>
      <c r="X245" s="11"/>
      <c r="Y245" s="11"/>
      <c r="Z245" s="11"/>
    </row>
    <row r="246">
      <c r="A246" s="18"/>
      <c r="B246" s="11"/>
      <c r="C246" s="11"/>
      <c r="D246" s="11"/>
      <c r="E246" s="11"/>
      <c r="F246" s="11"/>
      <c r="G246" s="11"/>
      <c r="H246" s="11"/>
      <c r="I246" s="11"/>
      <c r="J246" s="11"/>
      <c r="K246" s="11"/>
      <c r="L246" s="15"/>
      <c r="M246" s="15"/>
      <c r="N246" s="15"/>
      <c r="O246" s="15"/>
      <c r="P246" s="15"/>
      <c r="Q246" s="11"/>
      <c r="R246" s="11"/>
      <c r="S246" s="11"/>
      <c r="T246" s="11"/>
      <c r="U246" s="15"/>
      <c r="V246" s="11"/>
      <c r="W246" s="11"/>
      <c r="X246" s="11"/>
      <c r="Y246" s="11"/>
      <c r="Z246" s="11"/>
    </row>
    <row r="247">
      <c r="A247" s="18"/>
      <c r="B247" s="11"/>
      <c r="C247" s="11"/>
      <c r="D247" s="11"/>
      <c r="E247" s="11"/>
      <c r="F247" s="11"/>
      <c r="G247" s="11"/>
      <c r="H247" s="11"/>
      <c r="I247" s="11"/>
      <c r="J247" s="11"/>
      <c r="K247" s="11"/>
      <c r="L247" s="15"/>
      <c r="M247" s="15"/>
      <c r="N247" s="15"/>
      <c r="O247" s="15"/>
      <c r="P247" s="15"/>
      <c r="Q247" s="11"/>
      <c r="R247" s="11"/>
      <c r="S247" s="11"/>
      <c r="T247" s="11"/>
      <c r="U247" s="15"/>
      <c r="V247" s="11"/>
      <c r="W247" s="11"/>
      <c r="X247" s="11"/>
      <c r="Y247" s="11"/>
      <c r="Z247" s="11"/>
    </row>
    <row r="248">
      <c r="A248" s="18"/>
      <c r="B248" s="11"/>
      <c r="C248" s="11"/>
      <c r="D248" s="11"/>
      <c r="E248" s="11"/>
      <c r="F248" s="11"/>
      <c r="G248" s="11"/>
      <c r="H248" s="11"/>
      <c r="I248" s="11"/>
      <c r="J248" s="11"/>
      <c r="K248" s="11"/>
      <c r="L248" s="15"/>
      <c r="M248" s="15"/>
      <c r="N248" s="15"/>
      <c r="O248" s="15"/>
      <c r="P248" s="15"/>
      <c r="Q248" s="11"/>
      <c r="R248" s="11"/>
      <c r="S248" s="11"/>
      <c r="T248" s="11"/>
      <c r="U248" s="15"/>
      <c r="V248" s="11"/>
      <c r="W248" s="11"/>
      <c r="X248" s="11"/>
      <c r="Y248" s="11"/>
      <c r="Z248" s="11"/>
    </row>
    <row r="249">
      <c r="A249" s="18"/>
      <c r="B249" s="11"/>
      <c r="C249" s="11"/>
      <c r="D249" s="11"/>
      <c r="E249" s="11"/>
      <c r="F249" s="11"/>
      <c r="G249" s="11"/>
      <c r="H249" s="11"/>
      <c r="I249" s="11"/>
      <c r="J249" s="11"/>
      <c r="K249" s="11"/>
      <c r="L249" s="15"/>
      <c r="M249" s="15"/>
      <c r="N249" s="15"/>
      <c r="O249" s="15"/>
      <c r="P249" s="15"/>
      <c r="Q249" s="11"/>
      <c r="R249" s="11"/>
      <c r="S249" s="11"/>
      <c r="T249" s="11"/>
      <c r="U249" s="15"/>
      <c r="V249" s="11"/>
      <c r="W249" s="11"/>
      <c r="X249" s="11"/>
      <c r="Y249" s="11"/>
      <c r="Z249" s="11"/>
    </row>
    <row r="250">
      <c r="A250" s="18"/>
      <c r="B250" s="11"/>
      <c r="C250" s="11"/>
      <c r="D250" s="11"/>
      <c r="E250" s="11"/>
      <c r="F250" s="11"/>
      <c r="G250" s="11"/>
      <c r="H250" s="11"/>
      <c r="I250" s="11"/>
      <c r="J250" s="11"/>
      <c r="K250" s="11"/>
      <c r="L250" s="15"/>
      <c r="M250" s="15"/>
      <c r="N250" s="15"/>
      <c r="O250" s="15"/>
      <c r="P250" s="15"/>
      <c r="Q250" s="11"/>
      <c r="R250" s="11"/>
      <c r="S250" s="11"/>
      <c r="T250" s="11"/>
      <c r="U250" s="15"/>
      <c r="V250" s="11"/>
      <c r="W250" s="11"/>
      <c r="X250" s="11"/>
      <c r="Y250" s="11"/>
      <c r="Z250" s="11"/>
    </row>
    <row r="251">
      <c r="A251" s="18"/>
      <c r="B251" s="11"/>
      <c r="C251" s="11"/>
      <c r="D251" s="11"/>
      <c r="E251" s="11"/>
      <c r="F251" s="11"/>
      <c r="G251" s="11"/>
      <c r="H251" s="11"/>
      <c r="I251" s="11"/>
      <c r="J251" s="11"/>
      <c r="K251" s="11"/>
      <c r="L251" s="15"/>
      <c r="M251" s="15"/>
      <c r="N251" s="15"/>
      <c r="O251" s="15"/>
      <c r="P251" s="15"/>
      <c r="Q251" s="11"/>
      <c r="R251" s="11"/>
      <c r="S251" s="11"/>
      <c r="T251" s="11"/>
      <c r="U251" s="15"/>
      <c r="V251" s="11"/>
      <c r="W251" s="11"/>
      <c r="X251" s="11"/>
      <c r="Y251" s="11"/>
      <c r="Z251" s="11"/>
    </row>
    <row r="252">
      <c r="A252" s="18"/>
      <c r="B252" s="11"/>
      <c r="C252" s="11"/>
      <c r="D252" s="11"/>
      <c r="E252" s="11"/>
      <c r="F252" s="11"/>
      <c r="G252" s="11"/>
      <c r="H252" s="11"/>
      <c r="I252" s="11"/>
      <c r="J252" s="11"/>
      <c r="K252" s="11"/>
      <c r="L252" s="15"/>
      <c r="M252" s="15"/>
      <c r="N252" s="15"/>
      <c r="O252" s="15"/>
      <c r="P252" s="15"/>
      <c r="Q252" s="11"/>
      <c r="R252" s="11"/>
      <c r="S252" s="11"/>
      <c r="T252" s="11"/>
      <c r="U252" s="15"/>
      <c r="V252" s="11"/>
      <c r="W252" s="11"/>
      <c r="X252" s="11"/>
      <c r="Y252" s="11"/>
      <c r="Z252" s="11"/>
    </row>
    <row r="253">
      <c r="A253" s="18"/>
      <c r="B253" s="11"/>
      <c r="C253" s="11"/>
      <c r="D253" s="11"/>
      <c r="E253" s="11"/>
      <c r="F253" s="11"/>
      <c r="G253" s="11"/>
      <c r="H253" s="11"/>
      <c r="I253" s="11"/>
      <c r="J253" s="11"/>
      <c r="K253" s="11"/>
      <c r="L253" s="15"/>
      <c r="M253" s="15"/>
      <c r="N253" s="15"/>
      <c r="O253" s="15"/>
      <c r="P253" s="15"/>
      <c r="Q253" s="11"/>
      <c r="R253" s="11"/>
      <c r="S253" s="11"/>
      <c r="T253" s="11"/>
      <c r="U253" s="15"/>
      <c r="V253" s="11"/>
      <c r="W253" s="11"/>
      <c r="X253" s="11"/>
      <c r="Y253" s="11"/>
      <c r="Z253" s="11"/>
    </row>
    <row r="254">
      <c r="A254" s="18"/>
      <c r="B254" s="11"/>
      <c r="C254" s="11"/>
      <c r="D254" s="11"/>
      <c r="E254" s="11"/>
      <c r="F254" s="11"/>
      <c r="G254" s="11"/>
      <c r="H254" s="11"/>
      <c r="I254" s="11"/>
      <c r="J254" s="11"/>
      <c r="K254" s="11"/>
      <c r="L254" s="15"/>
      <c r="M254" s="15"/>
      <c r="N254" s="15"/>
      <c r="O254" s="15"/>
      <c r="P254" s="15"/>
      <c r="Q254" s="11"/>
      <c r="R254" s="11"/>
      <c r="S254" s="11"/>
      <c r="T254" s="11"/>
      <c r="U254" s="15"/>
      <c r="V254" s="11"/>
      <c r="W254" s="11"/>
      <c r="X254" s="11"/>
      <c r="Y254" s="11"/>
      <c r="Z254" s="11"/>
    </row>
    <row r="255">
      <c r="A255" s="18"/>
      <c r="B255" s="11"/>
      <c r="C255" s="11"/>
      <c r="D255" s="11"/>
      <c r="E255" s="11"/>
      <c r="F255" s="11"/>
      <c r="G255" s="11"/>
      <c r="H255" s="11"/>
      <c r="I255" s="11"/>
      <c r="J255" s="11"/>
      <c r="K255" s="11"/>
      <c r="L255" s="15"/>
      <c r="M255" s="15"/>
      <c r="N255" s="15"/>
      <c r="O255" s="15"/>
      <c r="P255" s="15"/>
      <c r="Q255" s="11"/>
      <c r="R255" s="11"/>
      <c r="S255" s="11"/>
      <c r="T255" s="11"/>
      <c r="U255" s="15"/>
      <c r="V255" s="11"/>
      <c r="W255" s="11"/>
      <c r="X255" s="11"/>
      <c r="Y255" s="11"/>
      <c r="Z255" s="11"/>
    </row>
    <row r="256">
      <c r="A256" s="18"/>
      <c r="B256" s="11"/>
      <c r="C256" s="11"/>
      <c r="D256" s="11"/>
      <c r="E256" s="11"/>
      <c r="F256" s="11"/>
      <c r="G256" s="11"/>
      <c r="H256" s="11"/>
      <c r="I256" s="11"/>
      <c r="J256" s="11"/>
      <c r="K256" s="11"/>
      <c r="L256" s="15"/>
      <c r="M256" s="15"/>
      <c r="N256" s="15"/>
      <c r="O256" s="15"/>
      <c r="P256" s="15"/>
      <c r="Q256" s="11"/>
      <c r="R256" s="11"/>
      <c r="S256" s="11"/>
      <c r="T256" s="11"/>
      <c r="U256" s="15"/>
      <c r="V256" s="11"/>
      <c r="W256" s="11"/>
      <c r="X256" s="11"/>
      <c r="Y256" s="11"/>
      <c r="Z256" s="11"/>
    </row>
    <row r="257">
      <c r="A257" s="18"/>
      <c r="B257" s="11"/>
      <c r="C257" s="11"/>
      <c r="D257" s="11"/>
      <c r="E257" s="11"/>
      <c r="F257" s="11"/>
      <c r="G257" s="11"/>
      <c r="H257" s="11"/>
      <c r="I257" s="11"/>
      <c r="J257" s="11"/>
      <c r="K257" s="11"/>
      <c r="L257" s="15"/>
      <c r="M257" s="15"/>
      <c r="N257" s="15"/>
      <c r="O257" s="15"/>
      <c r="P257" s="15"/>
      <c r="Q257" s="11"/>
      <c r="R257" s="11"/>
      <c r="S257" s="11"/>
      <c r="T257" s="11"/>
      <c r="U257" s="15"/>
      <c r="V257" s="11"/>
      <c r="W257" s="11"/>
      <c r="X257" s="11"/>
      <c r="Y257" s="11"/>
      <c r="Z257" s="11"/>
    </row>
    <row r="258">
      <c r="A258" s="18"/>
      <c r="B258" s="11"/>
      <c r="C258" s="11"/>
      <c r="D258" s="11"/>
      <c r="E258" s="11"/>
      <c r="F258" s="11"/>
      <c r="G258" s="11"/>
      <c r="H258" s="11"/>
      <c r="I258" s="11"/>
      <c r="J258" s="11"/>
      <c r="K258" s="11"/>
      <c r="L258" s="15"/>
      <c r="M258" s="15"/>
      <c r="N258" s="15"/>
      <c r="O258" s="15"/>
      <c r="P258" s="15"/>
      <c r="Q258" s="11"/>
      <c r="R258" s="11"/>
      <c r="S258" s="11"/>
      <c r="T258" s="11"/>
      <c r="U258" s="15"/>
      <c r="V258" s="11"/>
      <c r="W258" s="11"/>
      <c r="X258" s="11"/>
      <c r="Y258" s="11"/>
      <c r="Z258" s="11"/>
    </row>
    <row r="259">
      <c r="A259" s="18"/>
      <c r="B259" s="11"/>
      <c r="C259" s="11"/>
      <c r="D259" s="11"/>
      <c r="E259" s="11"/>
      <c r="F259" s="11"/>
      <c r="G259" s="11"/>
      <c r="H259" s="11"/>
      <c r="I259" s="11"/>
      <c r="J259" s="11"/>
      <c r="K259" s="11"/>
      <c r="L259" s="15"/>
      <c r="M259" s="15"/>
      <c r="N259" s="15"/>
      <c r="O259" s="15"/>
      <c r="P259" s="15"/>
      <c r="Q259" s="11"/>
      <c r="R259" s="11"/>
      <c r="S259" s="11"/>
      <c r="T259" s="11"/>
      <c r="U259" s="15"/>
      <c r="V259" s="11"/>
      <c r="W259" s="11"/>
      <c r="X259" s="11"/>
      <c r="Y259" s="11"/>
      <c r="Z259" s="11"/>
    </row>
    <row r="260">
      <c r="A260" s="18"/>
      <c r="B260" s="11"/>
      <c r="C260" s="11"/>
      <c r="D260" s="11"/>
      <c r="E260" s="11"/>
      <c r="F260" s="11"/>
      <c r="G260" s="11"/>
      <c r="H260" s="11"/>
      <c r="I260" s="11"/>
      <c r="J260" s="11"/>
      <c r="K260" s="11"/>
      <c r="L260" s="15"/>
      <c r="M260" s="15"/>
      <c r="N260" s="15"/>
      <c r="O260" s="15"/>
      <c r="P260" s="15"/>
      <c r="Q260" s="11"/>
      <c r="R260" s="11"/>
      <c r="S260" s="11"/>
      <c r="T260" s="11"/>
      <c r="U260" s="15"/>
      <c r="V260" s="11"/>
      <c r="W260" s="11"/>
      <c r="X260" s="11"/>
      <c r="Y260" s="11"/>
      <c r="Z260" s="11"/>
    </row>
    <row r="261">
      <c r="A261" s="18"/>
      <c r="B261" s="11"/>
      <c r="C261" s="11"/>
      <c r="D261" s="11"/>
      <c r="E261" s="11"/>
      <c r="F261" s="11"/>
      <c r="G261" s="11"/>
      <c r="H261" s="11"/>
      <c r="I261" s="11"/>
      <c r="J261" s="11"/>
      <c r="K261" s="11"/>
      <c r="L261" s="15"/>
      <c r="M261" s="15"/>
      <c r="N261" s="15"/>
      <c r="O261" s="15"/>
      <c r="P261" s="15"/>
      <c r="Q261" s="11"/>
      <c r="R261" s="11"/>
      <c r="S261" s="11"/>
      <c r="T261" s="11"/>
      <c r="U261" s="15"/>
      <c r="V261" s="11"/>
      <c r="W261" s="11"/>
      <c r="X261" s="11"/>
      <c r="Y261" s="11"/>
      <c r="Z261" s="11"/>
    </row>
    <row r="262">
      <c r="A262" s="18"/>
      <c r="B262" s="11"/>
      <c r="C262" s="11"/>
      <c r="D262" s="11"/>
      <c r="E262" s="11"/>
      <c r="F262" s="11"/>
      <c r="G262" s="11"/>
      <c r="H262" s="11"/>
      <c r="I262" s="11"/>
      <c r="J262" s="11"/>
      <c r="K262" s="11"/>
      <c r="L262" s="15"/>
      <c r="M262" s="15"/>
      <c r="N262" s="15"/>
      <c r="O262" s="15"/>
      <c r="P262" s="15"/>
      <c r="Q262" s="11"/>
      <c r="R262" s="11"/>
      <c r="S262" s="11"/>
      <c r="T262" s="11"/>
      <c r="U262" s="15"/>
      <c r="V262" s="11"/>
      <c r="W262" s="11"/>
      <c r="X262" s="11"/>
      <c r="Y262" s="11"/>
      <c r="Z262" s="11"/>
    </row>
    <row r="263">
      <c r="A263" s="18"/>
      <c r="B263" s="11"/>
      <c r="C263" s="11"/>
      <c r="D263" s="11"/>
      <c r="E263" s="11"/>
      <c r="F263" s="11"/>
      <c r="G263" s="11"/>
      <c r="H263" s="11"/>
      <c r="I263" s="11"/>
      <c r="J263" s="11"/>
      <c r="K263" s="11"/>
      <c r="L263" s="15"/>
      <c r="M263" s="15"/>
      <c r="N263" s="15"/>
      <c r="O263" s="15"/>
      <c r="P263" s="15"/>
      <c r="Q263" s="11"/>
      <c r="R263" s="11"/>
      <c r="S263" s="11"/>
      <c r="T263" s="11"/>
      <c r="U263" s="15"/>
      <c r="V263" s="11"/>
      <c r="W263" s="11"/>
      <c r="X263" s="11"/>
      <c r="Y263" s="11"/>
      <c r="Z263" s="11"/>
    </row>
    <row r="264">
      <c r="A264" s="18"/>
      <c r="B264" s="11"/>
      <c r="C264" s="11"/>
      <c r="D264" s="11"/>
      <c r="E264" s="11"/>
      <c r="F264" s="11"/>
      <c r="G264" s="11"/>
      <c r="H264" s="11"/>
      <c r="I264" s="11"/>
      <c r="J264" s="11"/>
      <c r="K264" s="11"/>
      <c r="L264" s="15"/>
      <c r="M264" s="15"/>
      <c r="N264" s="15"/>
      <c r="O264" s="15"/>
      <c r="P264" s="15"/>
      <c r="Q264" s="11"/>
      <c r="R264" s="11"/>
      <c r="S264" s="11"/>
      <c r="T264" s="11"/>
      <c r="U264" s="15"/>
      <c r="V264" s="11"/>
      <c r="W264" s="11"/>
      <c r="X264" s="11"/>
      <c r="Y264" s="11"/>
      <c r="Z264" s="11"/>
    </row>
    <row r="265">
      <c r="A265" s="18"/>
      <c r="B265" s="11"/>
      <c r="C265" s="11"/>
      <c r="D265" s="11"/>
      <c r="E265" s="11"/>
      <c r="F265" s="11"/>
      <c r="G265" s="11"/>
      <c r="H265" s="11"/>
      <c r="I265" s="11"/>
      <c r="J265" s="11"/>
      <c r="K265" s="11"/>
      <c r="L265" s="15"/>
      <c r="M265" s="15"/>
      <c r="N265" s="15"/>
      <c r="O265" s="15"/>
      <c r="P265" s="15"/>
      <c r="Q265" s="11"/>
      <c r="R265" s="11"/>
      <c r="S265" s="11"/>
      <c r="T265" s="11"/>
      <c r="U265" s="15"/>
      <c r="V265" s="11"/>
      <c r="W265" s="11"/>
      <c r="X265" s="11"/>
      <c r="Y265" s="11"/>
      <c r="Z265" s="11"/>
    </row>
    <row r="266">
      <c r="A266" s="18"/>
      <c r="B266" s="11"/>
      <c r="C266" s="11"/>
      <c r="D266" s="11"/>
      <c r="E266" s="11"/>
      <c r="F266" s="11"/>
      <c r="G266" s="11"/>
      <c r="H266" s="11"/>
      <c r="I266" s="11"/>
      <c r="J266" s="11"/>
      <c r="K266" s="11"/>
      <c r="L266" s="15"/>
      <c r="M266" s="15"/>
      <c r="N266" s="15"/>
      <c r="O266" s="15"/>
      <c r="P266" s="15"/>
      <c r="Q266" s="11"/>
      <c r="R266" s="11"/>
      <c r="S266" s="11"/>
      <c r="T266" s="11"/>
      <c r="U266" s="15"/>
      <c r="V266" s="11"/>
      <c r="W266" s="11"/>
      <c r="X266" s="11"/>
      <c r="Y266" s="11"/>
      <c r="Z266" s="11"/>
    </row>
    <row r="267">
      <c r="A267" s="18"/>
      <c r="B267" s="11"/>
      <c r="C267" s="11"/>
      <c r="D267" s="11"/>
      <c r="E267" s="11"/>
      <c r="F267" s="11"/>
      <c r="G267" s="11"/>
      <c r="H267" s="11"/>
      <c r="I267" s="11"/>
      <c r="J267" s="11"/>
      <c r="K267" s="11"/>
      <c r="L267" s="15"/>
      <c r="M267" s="15"/>
      <c r="N267" s="15"/>
      <c r="O267" s="15"/>
      <c r="P267" s="15"/>
      <c r="Q267" s="11"/>
      <c r="R267" s="11"/>
      <c r="S267" s="11"/>
      <c r="T267" s="11"/>
      <c r="U267" s="15"/>
      <c r="V267" s="11"/>
      <c r="W267" s="11"/>
      <c r="X267" s="11"/>
      <c r="Y267" s="11"/>
      <c r="Z267" s="11"/>
    </row>
    <row r="268">
      <c r="A268" s="18"/>
      <c r="B268" s="11"/>
      <c r="C268" s="11"/>
      <c r="D268" s="11"/>
      <c r="E268" s="11"/>
      <c r="F268" s="11"/>
      <c r="G268" s="11"/>
      <c r="H268" s="11"/>
      <c r="I268" s="11"/>
      <c r="J268" s="11"/>
      <c r="K268" s="11"/>
      <c r="L268" s="15"/>
      <c r="M268" s="15"/>
      <c r="N268" s="15"/>
      <c r="O268" s="15"/>
      <c r="P268" s="15"/>
      <c r="Q268" s="11"/>
      <c r="R268" s="11"/>
      <c r="S268" s="11"/>
      <c r="T268" s="11"/>
      <c r="U268" s="15"/>
      <c r="V268" s="11"/>
      <c r="W268" s="11"/>
      <c r="X268" s="11"/>
      <c r="Y268" s="11"/>
      <c r="Z268" s="11"/>
    </row>
    <row r="269">
      <c r="A269" s="18"/>
      <c r="B269" s="11"/>
      <c r="C269" s="11"/>
      <c r="D269" s="11"/>
      <c r="E269" s="11"/>
      <c r="F269" s="11"/>
      <c r="G269" s="11"/>
      <c r="H269" s="11"/>
      <c r="I269" s="11"/>
      <c r="J269" s="11"/>
      <c r="K269" s="11"/>
      <c r="L269" s="15"/>
      <c r="M269" s="15"/>
      <c r="N269" s="15"/>
      <c r="O269" s="15"/>
      <c r="P269" s="15"/>
      <c r="Q269" s="11"/>
      <c r="R269" s="11"/>
      <c r="S269" s="11"/>
      <c r="T269" s="11"/>
      <c r="U269" s="15"/>
      <c r="V269" s="11"/>
      <c r="W269" s="11"/>
      <c r="X269" s="11"/>
      <c r="Y269" s="11"/>
      <c r="Z269" s="11"/>
    </row>
    <row r="270">
      <c r="A270" s="18"/>
      <c r="B270" s="11"/>
      <c r="C270" s="11"/>
      <c r="D270" s="11"/>
      <c r="E270" s="11"/>
      <c r="F270" s="11"/>
      <c r="G270" s="11"/>
      <c r="H270" s="11"/>
      <c r="I270" s="11"/>
      <c r="J270" s="11"/>
      <c r="K270" s="11"/>
      <c r="L270" s="15"/>
      <c r="M270" s="15"/>
      <c r="N270" s="15"/>
      <c r="O270" s="15"/>
      <c r="P270" s="15"/>
      <c r="Q270" s="11"/>
      <c r="R270" s="11"/>
      <c r="S270" s="11"/>
      <c r="T270" s="11"/>
      <c r="U270" s="15"/>
      <c r="V270" s="11"/>
      <c r="W270" s="11"/>
      <c r="X270" s="11"/>
      <c r="Y270" s="11"/>
      <c r="Z270" s="11"/>
    </row>
    <row r="271">
      <c r="A271" s="18"/>
      <c r="B271" s="11"/>
      <c r="C271" s="11"/>
      <c r="D271" s="11"/>
      <c r="E271" s="11"/>
      <c r="F271" s="11"/>
      <c r="G271" s="11"/>
      <c r="H271" s="11"/>
      <c r="I271" s="11"/>
      <c r="J271" s="11"/>
      <c r="K271" s="11"/>
      <c r="L271" s="15"/>
      <c r="M271" s="15"/>
      <c r="N271" s="15"/>
      <c r="O271" s="15"/>
      <c r="P271" s="15"/>
      <c r="Q271" s="11"/>
      <c r="R271" s="11"/>
      <c r="S271" s="11"/>
      <c r="T271" s="11"/>
      <c r="U271" s="15"/>
      <c r="V271" s="11"/>
      <c r="W271" s="11"/>
      <c r="X271" s="11"/>
      <c r="Y271" s="11"/>
      <c r="Z271" s="11"/>
    </row>
    <row r="272">
      <c r="A272" s="18"/>
      <c r="B272" s="11"/>
      <c r="C272" s="11"/>
      <c r="D272" s="11"/>
      <c r="E272" s="11"/>
      <c r="F272" s="11"/>
      <c r="G272" s="11"/>
      <c r="H272" s="11"/>
      <c r="I272" s="11"/>
      <c r="J272" s="11"/>
      <c r="K272" s="11"/>
      <c r="L272" s="15"/>
      <c r="M272" s="15"/>
      <c r="N272" s="15"/>
      <c r="O272" s="15"/>
      <c r="P272" s="15"/>
      <c r="Q272" s="11"/>
      <c r="R272" s="11"/>
      <c r="S272" s="11"/>
      <c r="T272" s="11"/>
      <c r="U272" s="15"/>
      <c r="V272" s="11"/>
      <c r="W272" s="11"/>
      <c r="X272" s="11"/>
      <c r="Y272" s="11"/>
      <c r="Z272" s="11"/>
    </row>
    <row r="273">
      <c r="A273" s="18"/>
      <c r="B273" s="11"/>
      <c r="C273" s="11"/>
      <c r="D273" s="11"/>
      <c r="E273" s="11"/>
      <c r="F273" s="11"/>
      <c r="G273" s="11"/>
      <c r="H273" s="11"/>
      <c r="I273" s="11"/>
      <c r="J273" s="11"/>
      <c r="K273" s="11"/>
      <c r="L273" s="15"/>
      <c r="M273" s="15"/>
      <c r="N273" s="15"/>
      <c r="O273" s="15"/>
      <c r="P273" s="15"/>
      <c r="Q273" s="11"/>
      <c r="R273" s="11"/>
      <c r="S273" s="11"/>
      <c r="T273" s="11"/>
      <c r="U273" s="15"/>
      <c r="V273" s="11"/>
      <c r="W273" s="11"/>
      <c r="X273" s="11"/>
      <c r="Y273" s="11"/>
      <c r="Z273" s="11"/>
    </row>
    <row r="274">
      <c r="A274" s="18"/>
      <c r="B274" s="11"/>
      <c r="C274" s="11"/>
      <c r="D274" s="11"/>
      <c r="E274" s="11"/>
      <c r="F274" s="11"/>
      <c r="G274" s="11"/>
      <c r="H274" s="11"/>
      <c r="I274" s="11"/>
      <c r="J274" s="11"/>
      <c r="K274" s="11"/>
      <c r="L274" s="15"/>
      <c r="M274" s="15"/>
      <c r="N274" s="15"/>
      <c r="O274" s="15"/>
      <c r="P274" s="15"/>
      <c r="Q274" s="11"/>
      <c r="R274" s="11"/>
      <c r="S274" s="11"/>
      <c r="T274" s="11"/>
      <c r="U274" s="15"/>
      <c r="V274" s="11"/>
      <c r="W274" s="11"/>
      <c r="X274" s="11"/>
      <c r="Y274" s="11"/>
      <c r="Z274" s="11"/>
    </row>
    <row r="275">
      <c r="A275" s="18"/>
      <c r="B275" s="11"/>
      <c r="C275" s="11"/>
      <c r="D275" s="11"/>
      <c r="E275" s="11"/>
      <c r="F275" s="11"/>
      <c r="G275" s="11"/>
      <c r="H275" s="11"/>
      <c r="I275" s="11"/>
      <c r="J275" s="11"/>
      <c r="K275" s="11"/>
      <c r="L275" s="15"/>
      <c r="M275" s="15"/>
      <c r="N275" s="15"/>
      <c r="O275" s="15"/>
      <c r="P275" s="15"/>
      <c r="Q275" s="11"/>
      <c r="R275" s="11"/>
      <c r="S275" s="11"/>
      <c r="T275" s="11"/>
      <c r="U275" s="15"/>
      <c r="V275" s="11"/>
      <c r="W275" s="11"/>
      <c r="X275" s="11"/>
      <c r="Y275" s="11"/>
      <c r="Z275" s="11"/>
    </row>
    <row r="276">
      <c r="A276" s="18"/>
      <c r="B276" s="11"/>
      <c r="C276" s="11"/>
      <c r="D276" s="11"/>
      <c r="E276" s="11"/>
      <c r="F276" s="11"/>
      <c r="G276" s="11"/>
      <c r="H276" s="11"/>
      <c r="I276" s="11"/>
      <c r="J276" s="11"/>
      <c r="K276" s="11"/>
      <c r="L276" s="15"/>
      <c r="M276" s="15"/>
      <c r="N276" s="15"/>
      <c r="O276" s="15"/>
      <c r="P276" s="15"/>
      <c r="Q276" s="11"/>
      <c r="R276" s="11"/>
      <c r="S276" s="11"/>
      <c r="T276" s="11"/>
      <c r="U276" s="15"/>
      <c r="V276" s="11"/>
      <c r="W276" s="11"/>
      <c r="X276" s="11"/>
      <c r="Y276" s="11"/>
      <c r="Z276" s="11"/>
    </row>
    <row r="277">
      <c r="A277" s="18"/>
      <c r="B277" s="11"/>
      <c r="C277" s="11"/>
      <c r="D277" s="11"/>
      <c r="E277" s="11"/>
      <c r="F277" s="11"/>
      <c r="G277" s="11"/>
      <c r="H277" s="11"/>
      <c r="I277" s="11"/>
      <c r="J277" s="11"/>
      <c r="K277" s="11"/>
      <c r="L277" s="15"/>
      <c r="M277" s="15"/>
      <c r="N277" s="15"/>
      <c r="O277" s="15"/>
      <c r="P277" s="15"/>
      <c r="Q277" s="11"/>
      <c r="R277" s="11"/>
      <c r="S277" s="11"/>
      <c r="T277" s="11"/>
      <c r="U277" s="15"/>
      <c r="V277" s="11"/>
      <c r="W277" s="11"/>
      <c r="X277" s="11"/>
      <c r="Y277" s="11"/>
      <c r="Z277" s="11"/>
    </row>
    <row r="278">
      <c r="A278" s="18"/>
      <c r="B278" s="11"/>
      <c r="C278" s="11"/>
      <c r="D278" s="11"/>
      <c r="E278" s="11"/>
      <c r="F278" s="11"/>
      <c r="G278" s="11"/>
      <c r="H278" s="11"/>
      <c r="I278" s="11"/>
      <c r="J278" s="11"/>
      <c r="K278" s="11"/>
      <c r="L278" s="15"/>
      <c r="M278" s="15"/>
      <c r="N278" s="15"/>
      <c r="O278" s="15"/>
      <c r="P278" s="15"/>
      <c r="Q278" s="11"/>
      <c r="R278" s="11"/>
      <c r="S278" s="11"/>
      <c r="T278" s="11"/>
      <c r="U278" s="15"/>
      <c r="V278" s="11"/>
      <c r="W278" s="11"/>
      <c r="X278" s="11"/>
      <c r="Y278" s="11"/>
      <c r="Z278" s="11"/>
    </row>
    <row r="279">
      <c r="A279" s="18"/>
      <c r="B279" s="11"/>
      <c r="C279" s="11"/>
      <c r="D279" s="11"/>
      <c r="E279" s="11"/>
      <c r="F279" s="11"/>
      <c r="G279" s="11"/>
      <c r="H279" s="11"/>
      <c r="I279" s="11"/>
      <c r="J279" s="11"/>
      <c r="K279" s="11"/>
      <c r="L279" s="15"/>
      <c r="M279" s="15"/>
      <c r="N279" s="15"/>
      <c r="O279" s="15"/>
      <c r="P279" s="15"/>
      <c r="Q279" s="11"/>
      <c r="R279" s="11"/>
      <c r="S279" s="11"/>
      <c r="T279" s="11"/>
      <c r="U279" s="15"/>
      <c r="V279" s="11"/>
      <c r="W279" s="11"/>
      <c r="X279" s="11"/>
      <c r="Y279" s="11"/>
      <c r="Z279" s="11"/>
    </row>
    <row r="280">
      <c r="A280" s="18"/>
      <c r="B280" s="11"/>
      <c r="C280" s="11"/>
      <c r="D280" s="11"/>
      <c r="E280" s="11"/>
      <c r="F280" s="11"/>
      <c r="G280" s="11"/>
      <c r="H280" s="11"/>
      <c r="I280" s="11"/>
      <c r="J280" s="11"/>
      <c r="K280" s="11"/>
      <c r="L280" s="15"/>
      <c r="M280" s="15"/>
      <c r="N280" s="15"/>
      <c r="O280" s="15"/>
      <c r="P280" s="15"/>
      <c r="Q280" s="11"/>
      <c r="R280" s="11"/>
      <c r="S280" s="11"/>
      <c r="T280" s="11"/>
      <c r="U280" s="15"/>
      <c r="V280" s="11"/>
      <c r="W280" s="11"/>
      <c r="X280" s="11"/>
      <c r="Y280" s="11"/>
      <c r="Z280" s="11"/>
    </row>
    <row r="281">
      <c r="A281" s="18"/>
      <c r="B281" s="11"/>
      <c r="C281" s="11"/>
      <c r="D281" s="11"/>
      <c r="E281" s="11"/>
      <c r="F281" s="11"/>
      <c r="G281" s="11"/>
      <c r="H281" s="11"/>
      <c r="I281" s="11"/>
      <c r="J281" s="11"/>
      <c r="K281" s="11"/>
      <c r="L281" s="15"/>
      <c r="M281" s="15"/>
      <c r="N281" s="15"/>
      <c r="O281" s="15"/>
      <c r="P281" s="15"/>
      <c r="Q281" s="11"/>
      <c r="R281" s="11"/>
      <c r="S281" s="11"/>
      <c r="T281" s="11"/>
      <c r="U281" s="15"/>
      <c r="V281" s="11"/>
      <c r="W281" s="11"/>
      <c r="X281" s="11"/>
      <c r="Y281" s="11"/>
      <c r="Z281" s="11"/>
    </row>
    <row r="282">
      <c r="A282" s="18"/>
      <c r="B282" s="11"/>
      <c r="C282" s="11"/>
      <c r="D282" s="11"/>
      <c r="E282" s="11"/>
      <c r="F282" s="11"/>
      <c r="G282" s="11"/>
      <c r="H282" s="11"/>
      <c r="I282" s="11"/>
      <c r="J282" s="11"/>
      <c r="K282" s="11"/>
      <c r="L282" s="15"/>
      <c r="M282" s="15"/>
      <c r="N282" s="15"/>
      <c r="O282" s="15"/>
      <c r="P282" s="15"/>
      <c r="Q282" s="11"/>
      <c r="R282" s="11"/>
      <c r="S282" s="11"/>
      <c r="T282" s="11"/>
      <c r="U282" s="15"/>
      <c r="V282" s="11"/>
      <c r="W282" s="11"/>
      <c r="X282" s="11"/>
      <c r="Y282" s="11"/>
      <c r="Z282" s="11"/>
    </row>
    <row r="283">
      <c r="A283" s="18"/>
      <c r="B283" s="11"/>
      <c r="C283" s="11"/>
      <c r="D283" s="11"/>
      <c r="E283" s="11"/>
      <c r="F283" s="11"/>
      <c r="G283" s="11"/>
      <c r="H283" s="11"/>
      <c r="I283" s="11"/>
      <c r="J283" s="11"/>
      <c r="K283" s="11"/>
      <c r="L283" s="15"/>
      <c r="M283" s="15"/>
      <c r="N283" s="15"/>
      <c r="O283" s="15"/>
      <c r="P283" s="15"/>
      <c r="Q283" s="11"/>
      <c r="R283" s="11"/>
      <c r="S283" s="11"/>
      <c r="T283" s="11"/>
      <c r="U283" s="15"/>
      <c r="V283" s="11"/>
      <c r="W283" s="11"/>
      <c r="X283" s="11"/>
      <c r="Y283" s="11"/>
      <c r="Z283" s="11"/>
    </row>
    <row r="284">
      <c r="A284" s="18"/>
      <c r="B284" s="11"/>
      <c r="C284" s="11"/>
      <c r="D284" s="11"/>
      <c r="E284" s="11"/>
      <c r="F284" s="11"/>
      <c r="G284" s="11"/>
      <c r="H284" s="11"/>
      <c r="I284" s="11"/>
      <c r="J284" s="11"/>
      <c r="K284" s="11"/>
      <c r="L284" s="15"/>
      <c r="M284" s="15"/>
      <c r="N284" s="15"/>
      <c r="O284" s="15"/>
      <c r="P284" s="15"/>
      <c r="Q284" s="11"/>
      <c r="R284" s="11"/>
      <c r="S284" s="11"/>
      <c r="T284" s="11"/>
      <c r="U284" s="15"/>
      <c r="V284" s="11"/>
      <c r="W284" s="11"/>
      <c r="X284" s="11"/>
      <c r="Y284" s="11"/>
      <c r="Z284" s="11"/>
    </row>
    <row r="285">
      <c r="A285" s="18"/>
      <c r="B285" s="11"/>
      <c r="C285" s="11"/>
      <c r="D285" s="11"/>
      <c r="E285" s="11"/>
      <c r="F285" s="11"/>
      <c r="G285" s="11"/>
      <c r="H285" s="11"/>
      <c r="I285" s="11"/>
      <c r="J285" s="11"/>
      <c r="K285" s="11"/>
      <c r="L285" s="15"/>
      <c r="M285" s="15"/>
      <c r="N285" s="15"/>
      <c r="O285" s="15"/>
      <c r="P285" s="15"/>
      <c r="Q285" s="11"/>
      <c r="R285" s="11"/>
      <c r="S285" s="11"/>
      <c r="T285" s="11"/>
      <c r="U285" s="15"/>
      <c r="V285" s="11"/>
      <c r="W285" s="11"/>
      <c r="X285" s="11"/>
      <c r="Y285" s="11"/>
      <c r="Z285" s="11"/>
    </row>
    <row r="286">
      <c r="A286" s="18"/>
      <c r="B286" s="11"/>
      <c r="C286" s="11"/>
      <c r="D286" s="11"/>
      <c r="E286" s="11"/>
      <c r="F286" s="11"/>
      <c r="G286" s="11"/>
      <c r="H286" s="11"/>
      <c r="I286" s="11"/>
      <c r="J286" s="11"/>
      <c r="K286" s="11"/>
      <c r="L286" s="15"/>
      <c r="M286" s="15"/>
      <c r="N286" s="15"/>
      <c r="O286" s="15"/>
      <c r="P286" s="15"/>
      <c r="Q286" s="11"/>
      <c r="R286" s="11"/>
      <c r="S286" s="11"/>
      <c r="T286" s="11"/>
      <c r="U286" s="15"/>
      <c r="V286" s="11"/>
      <c r="W286" s="11"/>
      <c r="X286" s="11"/>
      <c r="Y286" s="11"/>
      <c r="Z286" s="11"/>
    </row>
    <row r="287">
      <c r="A287" s="18"/>
      <c r="B287" s="11"/>
      <c r="C287" s="11"/>
      <c r="D287" s="11"/>
      <c r="E287" s="11"/>
      <c r="F287" s="11"/>
      <c r="G287" s="11"/>
      <c r="H287" s="11"/>
      <c r="I287" s="11"/>
      <c r="J287" s="11"/>
      <c r="K287" s="11"/>
      <c r="L287" s="15"/>
      <c r="M287" s="15"/>
      <c r="N287" s="15"/>
      <c r="O287" s="15"/>
      <c r="P287" s="15"/>
      <c r="Q287" s="11"/>
      <c r="R287" s="11"/>
      <c r="S287" s="11"/>
      <c r="T287" s="11"/>
      <c r="U287" s="15"/>
      <c r="V287" s="11"/>
      <c r="W287" s="11"/>
      <c r="X287" s="11"/>
      <c r="Y287" s="11"/>
      <c r="Z287" s="11"/>
    </row>
    <row r="288">
      <c r="A288" s="18"/>
      <c r="B288" s="11"/>
      <c r="C288" s="11"/>
      <c r="D288" s="11"/>
      <c r="E288" s="11"/>
      <c r="F288" s="11"/>
      <c r="G288" s="11"/>
      <c r="H288" s="11"/>
      <c r="I288" s="11"/>
      <c r="J288" s="11"/>
      <c r="K288" s="11"/>
      <c r="L288" s="15"/>
      <c r="M288" s="15"/>
      <c r="N288" s="15"/>
      <c r="O288" s="15"/>
      <c r="P288" s="15"/>
      <c r="Q288" s="11"/>
      <c r="R288" s="11"/>
      <c r="S288" s="11"/>
      <c r="T288" s="11"/>
      <c r="U288" s="15"/>
      <c r="V288" s="11"/>
      <c r="W288" s="11"/>
      <c r="X288" s="11"/>
      <c r="Y288" s="11"/>
      <c r="Z288" s="11"/>
    </row>
    <row r="289">
      <c r="A289" s="18"/>
      <c r="B289" s="11"/>
      <c r="C289" s="11"/>
      <c r="D289" s="11"/>
      <c r="E289" s="11"/>
      <c r="F289" s="11"/>
      <c r="G289" s="11"/>
      <c r="H289" s="11"/>
      <c r="I289" s="11"/>
      <c r="J289" s="11"/>
      <c r="K289" s="11"/>
      <c r="L289" s="15"/>
      <c r="M289" s="15"/>
      <c r="N289" s="15"/>
      <c r="O289" s="15"/>
      <c r="P289" s="15"/>
      <c r="Q289" s="11"/>
      <c r="R289" s="11"/>
      <c r="S289" s="11"/>
      <c r="T289" s="11"/>
      <c r="U289" s="15"/>
      <c r="V289" s="11"/>
      <c r="W289" s="11"/>
      <c r="X289" s="11"/>
      <c r="Y289" s="11"/>
      <c r="Z289" s="11"/>
    </row>
    <row r="290">
      <c r="A290" s="18"/>
      <c r="B290" s="11"/>
      <c r="C290" s="11"/>
      <c r="D290" s="11"/>
      <c r="E290" s="11"/>
      <c r="F290" s="11"/>
      <c r="G290" s="11"/>
      <c r="H290" s="11"/>
      <c r="I290" s="11"/>
      <c r="J290" s="11"/>
      <c r="K290" s="11"/>
      <c r="L290" s="15"/>
      <c r="M290" s="15"/>
      <c r="N290" s="15"/>
      <c r="O290" s="15"/>
      <c r="P290" s="15"/>
      <c r="Q290" s="11"/>
      <c r="R290" s="11"/>
      <c r="S290" s="11"/>
      <c r="T290" s="11"/>
      <c r="U290" s="15"/>
      <c r="V290" s="11"/>
      <c r="W290" s="11"/>
      <c r="X290" s="11"/>
      <c r="Y290" s="11"/>
      <c r="Z290" s="11"/>
    </row>
    <row r="291">
      <c r="A291" s="18"/>
      <c r="B291" s="11"/>
      <c r="C291" s="11"/>
      <c r="D291" s="11"/>
      <c r="E291" s="11"/>
      <c r="F291" s="11"/>
      <c r="G291" s="11"/>
      <c r="H291" s="11"/>
      <c r="I291" s="11"/>
      <c r="J291" s="11"/>
      <c r="K291" s="11"/>
      <c r="L291" s="15"/>
      <c r="M291" s="15"/>
      <c r="N291" s="15"/>
      <c r="O291" s="15"/>
      <c r="P291" s="15"/>
      <c r="Q291" s="11"/>
      <c r="R291" s="11"/>
      <c r="S291" s="11"/>
      <c r="T291" s="11"/>
      <c r="U291" s="15"/>
      <c r="V291" s="11"/>
      <c r="W291" s="11"/>
      <c r="X291" s="11"/>
      <c r="Y291" s="11"/>
      <c r="Z291" s="11"/>
    </row>
    <row r="292">
      <c r="A292" s="18"/>
      <c r="B292" s="11"/>
      <c r="C292" s="11"/>
      <c r="D292" s="11"/>
      <c r="E292" s="11"/>
      <c r="F292" s="11"/>
      <c r="G292" s="11"/>
      <c r="H292" s="11"/>
      <c r="I292" s="11"/>
      <c r="J292" s="11"/>
      <c r="K292" s="11"/>
      <c r="L292" s="15"/>
      <c r="M292" s="15"/>
      <c r="N292" s="15"/>
      <c r="O292" s="15"/>
      <c r="P292" s="15"/>
      <c r="Q292" s="11"/>
      <c r="R292" s="11"/>
      <c r="S292" s="11"/>
      <c r="T292" s="11"/>
      <c r="U292" s="15"/>
      <c r="V292" s="11"/>
      <c r="W292" s="11"/>
      <c r="X292" s="11"/>
      <c r="Y292" s="11"/>
      <c r="Z292" s="11"/>
    </row>
    <row r="293">
      <c r="A293" s="18"/>
      <c r="B293" s="11"/>
      <c r="C293" s="11"/>
      <c r="D293" s="11"/>
      <c r="E293" s="11"/>
      <c r="F293" s="11"/>
      <c r="G293" s="11"/>
      <c r="H293" s="11"/>
      <c r="I293" s="11"/>
      <c r="J293" s="11"/>
      <c r="K293" s="11"/>
      <c r="L293" s="15"/>
      <c r="M293" s="15"/>
      <c r="N293" s="15"/>
      <c r="O293" s="15"/>
      <c r="P293" s="15"/>
      <c r="Q293" s="11"/>
      <c r="R293" s="11"/>
      <c r="S293" s="11"/>
      <c r="T293" s="11"/>
      <c r="U293" s="15"/>
      <c r="V293" s="11"/>
      <c r="W293" s="11"/>
      <c r="X293" s="11"/>
      <c r="Y293" s="11"/>
      <c r="Z293" s="11"/>
    </row>
    <row r="294">
      <c r="A294" s="18"/>
      <c r="B294" s="11"/>
      <c r="C294" s="11"/>
      <c r="D294" s="11"/>
      <c r="E294" s="11"/>
      <c r="F294" s="11"/>
      <c r="G294" s="11"/>
      <c r="H294" s="11"/>
      <c r="I294" s="11"/>
      <c r="J294" s="11"/>
      <c r="K294" s="11"/>
      <c r="L294" s="15"/>
      <c r="M294" s="15"/>
      <c r="N294" s="15"/>
      <c r="O294" s="15"/>
      <c r="P294" s="15"/>
      <c r="Q294" s="11"/>
      <c r="R294" s="11"/>
      <c r="S294" s="11"/>
      <c r="T294" s="11"/>
      <c r="U294" s="15"/>
      <c r="V294" s="11"/>
      <c r="W294" s="11"/>
      <c r="X294" s="11"/>
      <c r="Y294" s="11"/>
      <c r="Z294" s="11"/>
    </row>
    <row r="295">
      <c r="A295" s="18"/>
      <c r="B295" s="11"/>
      <c r="C295" s="11"/>
      <c r="D295" s="11"/>
      <c r="E295" s="11"/>
      <c r="F295" s="11"/>
      <c r="G295" s="11"/>
      <c r="H295" s="11"/>
      <c r="I295" s="11"/>
      <c r="J295" s="11"/>
      <c r="K295" s="11"/>
      <c r="L295" s="15"/>
      <c r="M295" s="15"/>
      <c r="N295" s="15"/>
      <c r="O295" s="15"/>
      <c r="P295" s="15"/>
      <c r="Q295" s="11"/>
      <c r="R295" s="11"/>
      <c r="S295" s="11"/>
      <c r="T295" s="11"/>
      <c r="U295" s="15"/>
      <c r="V295" s="11"/>
      <c r="W295" s="11"/>
      <c r="X295" s="11"/>
      <c r="Y295" s="11"/>
      <c r="Z295" s="11"/>
    </row>
    <row r="296">
      <c r="A296" s="18"/>
      <c r="B296" s="11"/>
      <c r="C296" s="11"/>
      <c r="D296" s="11"/>
      <c r="E296" s="11"/>
      <c r="F296" s="11"/>
      <c r="G296" s="11"/>
      <c r="H296" s="11"/>
      <c r="I296" s="11"/>
      <c r="J296" s="11"/>
      <c r="K296" s="11"/>
      <c r="L296" s="15"/>
      <c r="M296" s="15"/>
      <c r="N296" s="15"/>
      <c r="O296" s="15"/>
      <c r="P296" s="15"/>
      <c r="Q296" s="11"/>
      <c r="R296" s="11"/>
      <c r="S296" s="11"/>
      <c r="T296" s="11"/>
      <c r="U296" s="15"/>
      <c r="V296" s="11"/>
      <c r="W296" s="11"/>
      <c r="X296" s="11"/>
      <c r="Y296" s="11"/>
      <c r="Z296" s="11"/>
    </row>
    <row r="297">
      <c r="A297" s="18"/>
      <c r="B297" s="11"/>
      <c r="C297" s="11"/>
      <c r="D297" s="11"/>
      <c r="E297" s="11"/>
      <c r="F297" s="11"/>
      <c r="G297" s="11"/>
      <c r="H297" s="11"/>
      <c r="I297" s="11"/>
      <c r="J297" s="11"/>
      <c r="K297" s="11"/>
      <c r="L297" s="15"/>
      <c r="M297" s="15"/>
      <c r="N297" s="15"/>
      <c r="O297" s="15"/>
      <c r="P297" s="15"/>
      <c r="Q297" s="11"/>
      <c r="R297" s="11"/>
      <c r="S297" s="11"/>
      <c r="T297" s="11"/>
      <c r="U297" s="15"/>
      <c r="V297" s="11"/>
      <c r="W297" s="11"/>
      <c r="X297" s="11"/>
      <c r="Y297" s="11"/>
      <c r="Z297" s="11"/>
    </row>
    <row r="298">
      <c r="A298" s="18"/>
      <c r="B298" s="11"/>
      <c r="C298" s="11"/>
      <c r="D298" s="11"/>
      <c r="E298" s="11"/>
      <c r="F298" s="11"/>
      <c r="G298" s="11"/>
      <c r="H298" s="11"/>
      <c r="I298" s="11"/>
      <c r="J298" s="11"/>
      <c r="K298" s="11"/>
      <c r="L298" s="15"/>
      <c r="M298" s="15"/>
      <c r="N298" s="15"/>
      <c r="O298" s="15"/>
      <c r="P298" s="15"/>
      <c r="Q298" s="11"/>
      <c r="R298" s="11"/>
      <c r="S298" s="11"/>
      <c r="T298" s="11"/>
      <c r="U298" s="15"/>
      <c r="V298" s="11"/>
      <c r="W298" s="11"/>
      <c r="X298" s="11"/>
      <c r="Y298" s="11"/>
      <c r="Z298" s="11"/>
    </row>
    <row r="299">
      <c r="A299" s="18"/>
      <c r="B299" s="11"/>
      <c r="C299" s="11"/>
      <c r="D299" s="11"/>
      <c r="E299" s="11"/>
      <c r="F299" s="11"/>
      <c r="G299" s="11"/>
      <c r="H299" s="11"/>
      <c r="I299" s="11"/>
      <c r="J299" s="11"/>
      <c r="K299" s="11"/>
      <c r="L299" s="15"/>
      <c r="M299" s="15"/>
      <c r="N299" s="15"/>
      <c r="O299" s="15"/>
      <c r="P299" s="15"/>
      <c r="Q299" s="11"/>
      <c r="R299" s="11"/>
      <c r="S299" s="11"/>
      <c r="T299" s="11"/>
      <c r="U299" s="15"/>
      <c r="V299" s="11"/>
      <c r="W299" s="11"/>
      <c r="X299" s="11"/>
      <c r="Y299" s="11"/>
      <c r="Z299" s="11"/>
    </row>
    <row r="300">
      <c r="A300" s="18"/>
      <c r="B300" s="11"/>
      <c r="C300" s="11"/>
      <c r="D300" s="11"/>
      <c r="E300" s="11"/>
      <c r="F300" s="11"/>
      <c r="G300" s="11"/>
      <c r="H300" s="11"/>
      <c r="I300" s="11"/>
      <c r="J300" s="11"/>
      <c r="K300" s="11"/>
      <c r="L300" s="15"/>
      <c r="M300" s="15"/>
      <c r="N300" s="15"/>
      <c r="O300" s="15"/>
      <c r="P300" s="15"/>
      <c r="Q300" s="11"/>
      <c r="R300" s="11"/>
      <c r="S300" s="11"/>
      <c r="T300" s="11"/>
      <c r="U300" s="15"/>
      <c r="V300" s="11"/>
      <c r="W300" s="11"/>
      <c r="X300" s="11"/>
      <c r="Y300" s="11"/>
      <c r="Z300" s="11"/>
    </row>
    <row r="301">
      <c r="A301" s="18"/>
      <c r="B301" s="11"/>
      <c r="C301" s="11"/>
      <c r="D301" s="11"/>
      <c r="E301" s="11"/>
      <c r="F301" s="11"/>
      <c r="G301" s="11"/>
      <c r="H301" s="11"/>
      <c r="I301" s="11"/>
      <c r="J301" s="11"/>
      <c r="K301" s="11"/>
      <c r="L301" s="15"/>
      <c r="M301" s="15"/>
      <c r="N301" s="15"/>
      <c r="O301" s="15"/>
      <c r="P301" s="15"/>
      <c r="Q301" s="11"/>
      <c r="R301" s="11"/>
      <c r="S301" s="11"/>
      <c r="T301" s="11"/>
      <c r="U301" s="15"/>
      <c r="V301" s="11"/>
      <c r="W301" s="11"/>
      <c r="X301" s="11"/>
      <c r="Y301" s="11"/>
      <c r="Z301" s="11"/>
    </row>
    <row r="302">
      <c r="A302" s="18"/>
      <c r="B302" s="11"/>
      <c r="C302" s="11"/>
      <c r="D302" s="11"/>
      <c r="E302" s="11"/>
      <c r="F302" s="11"/>
      <c r="G302" s="11"/>
      <c r="H302" s="11"/>
      <c r="I302" s="11"/>
      <c r="J302" s="11"/>
      <c r="K302" s="11"/>
      <c r="L302" s="15"/>
      <c r="M302" s="15"/>
      <c r="N302" s="15"/>
      <c r="O302" s="15"/>
      <c r="P302" s="15"/>
      <c r="Q302" s="11"/>
      <c r="R302" s="11"/>
      <c r="S302" s="11"/>
      <c r="T302" s="11"/>
      <c r="U302" s="15"/>
      <c r="V302" s="11"/>
      <c r="W302" s="11"/>
      <c r="X302" s="11"/>
      <c r="Y302" s="11"/>
      <c r="Z302" s="11"/>
    </row>
    <row r="303">
      <c r="A303" s="18"/>
      <c r="B303" s="11"/>
      <c r="C303" s="11"/>
      <c r="D303" s="11"/>
      <c r="E303" s="11"/>
      <c r="F303" s="11"/>
      <c r="G303" s="11"/>
      <c r="H303" s="11"/>
      <c r="I303" s="11"/>
      <c r="J303" s="11"/>
      <c r="K303" s="11"/>
      <c r="L303" s="15"/>
      <c r="M303" s="15"/>
      <c r="N303" s="15"/>
      <c r="O303" s="15"/>
      <c r="P303" s="15"/>
      <c r="Q303" s="11"/>
      <c r="R303" s="11"/>
      <c r="S303" s="11"/>
      <c r="T303" s="11"/>
      <c r="U303" s="15"/>
      <c r="V303" s="11"/>
      <c r="W303" s="11"/>
      <c r="X303" s="11"/>
      <c r="Y303" s="11"/>
      <c r="Z303" s="11"/>
    </row>
    <row r="304">
      <c r="A304" s="18"/>
      <c r="B304" s="11"/>
      <c r="C304" s="11"/>
      <c r="D304" s="11"/>
      <c r="E304" s="11"/>
      <c r="F304" s="11"/>
      <c r="G304" s="11"/>
      <c r="H304" s="11"/>
      <c r="I304" s="11"/>
      <c r="J304" s="11"/>
      <c r="K304" s="11"/>
      <c r="L304" s="15"/>
      <c r="M304" s="15"/>
      <c r="N304" s="15"/>
      <c r="O304" s="15"/>
      <c r="P304" s="15"/>
      <c r="Q304" s="11"/>
      <c r="R304" s="11"/>
      <c r="S304" s="11"/>
      <c r="T304" s="11"/>
      <c r="U304" s="15"/>
      <c r="V304" s="11"/>
      <c r="W304" s="11"/>
      <c r="X304" s="11"/>
      <c r="Y304" s="11"/>
      <c r="Z304" s="11"/>
    </row>
    <row r="305">
      <c r="A305" s="18"/>
      <c r="B305" s="11"/>
      <c r="C305" s="11"/>
      <c r="D305" s="11"/>
      <c r="E305" s="11"/>
      <c r="F305" s="11"/>
      <c r="G305" s="11"/>
      <c r="H305" s="11"/>
      <c r="I305" s="11"/>
      <c r="J305" s="11"/>
      <c r="K305" s="11"/>
      <c r="L305" s="15"/>
      <c r="M305" s="15"/>
      <c r="N305" s="15"/>
      <c r="O305" s="15"/>
      <c r="P305" s="15"/>
      <c r="Q305" s="11"/>
      <c r="R305" s="11"/>
      <c r="S305" s="11"/>
      <c r="T305" s="11"/>
      <c r="U305" s="15"/>
      <c r="V305" s="11"/>
      <c r="W305" s="11"/>
      <c r="X305" s="11"/>
      <c r="Y305" s="11"/>
      <c r="Z305" s="11"/>
    </row>
    <row r="306">
      <c r="A306" s="18"/>
      <c r="B306" s="11"/>
      <c r="C306" s="11"/>
      <c r="D306" s="11"/>
      <c r="E306" s="11"/>
      <c r="F306" s="11"/>
      <c r="G306" s="11"/>
      <c r="H306" s="11"/>
      <c r="I306" s="11"/>
      <c r="J306" s="11"/>
      <c r="K306" s="11"/>
      <c r="L306" s="15"/>
      <c r="M306" s="15"/>
      <c r="N306" s="15"/>
      <c r="O306" s="15"/>
      <c r="P306" s="15"/>
      <c r="Q306" s="11"/>
      <c r="R306" s="11"/>
      <c r="S306" s="11"/>
      <c r="T306" s="11"/>
      <c r="U306" s="15"/>
      <c r="V306" s="11"/>
      <c r="W306" s="11"/>
      <c r="X306" s="11"/>
      <c r="Y306" s="11"/>
      <c r="Z306" s="11"/>
    </row>
    <row r="307">
      <c r="A307" s="18"/>
      <c r="B307" s="11"/>
      <c r="C307" s="11"/>
      <c r="D307" s="11"/>
      <c r="E307" s="11"/>
      <c r="F307" s="11"/>
      <c r="G307" s="11"/>
      <c r="H307" s="11"/>
      <c r="I307" s="11"/>
      <c r="J307" s="11"/>
      <c r="K307" s="11"/>
      <c r="L307" s="15"/>
      <c r="M307" s="15"/>
      <c r="N307" s="15"/>
      <c r="O307" s="15"/>
      <c r="P307" s="15"/>
      <c r="Q307" s="11"/>
      <c r="R307" s="11"/>
      <c r="S307" s="11"/>
      <c r="T307" s="11"/>
      <c r="U307" s="15"/>
      <c r="V307" s="11"/>
      <c r="W307" s="11"/>
      <c r="X307" s="11"/>
      <c r="Y307" s="11"/>
      <c r="Z307" s="11"/>
    </row>
    <row r="308">
      <c r="A308" s="18"/>
      <c r="B308" s="11"/>
      <c r="C308" s="11"/>
      <c r="D308" s="11"/>
      <c r="E308" s="11"/>
      <c r="F308" s="11"/>
      <c r="G308" s="11"/>
      <c r="H308" s="11"/>
      <c r="I308" s="11"/>
      <c r="J308" s="11"/>
      <c r="K308" s="11"/>
      <c r="L308" s="15"/>
      <c r="M308" s="15"/>
      <c r="N308" s="15"/>
      <c r="O308" s="15"/>
      <c r="P308" s="15"/>
      <c r="Q308" s="11"/>
      <c r="R308" s="11"/>
      <c r="S308" s="11"/>
      <c r="T308" s="11"/>
      <c r="U308" s="15"/>
      <c r="V308" s="11"/>
      <c r="W308" s="11"/>
      <c r="X308" s="11"/>
      <c r="Y308" s="11"/>
      <c r="Z308" s="11"/>
    </row>
    <row r="309">
      <c r="A309" s="18"/>
      <c r="B309" s="11"/>
      <c r="C309" s="11"/>
      <c r="D309" s="11"/>
      <c r="E309" s="11"/>
      <c r="F309" s="11"/>
      <c r="G309" s="11"/>
      <c r="H309" s="11"/>
      <c r="I309" s="11"/>
      <c r="J309" s="11"/>
      <c r="K309" s="11"/>
      <c r="L309" s="15"/>
      <c r="M309" s="15"/>
      <c r="N309" s="15"/>
      <c r="O309" s="15"/>
      <c r="P309" s="15"/>
      <c r="Q309" s="11"/>
      <c r="R309" s="11"/>
      <c r="S309" s="11"/>
      <c r="T309" s="11"/>
      <c r="U309" s="15"/>
      <c r="V309" s="11"/>
      <c r="W309" s="11"/>
      <c r="X309" s="11"/>
      <c r="Y309" s="11"/>
      <c r="Z309" s="11"/>
    </row>
    <row r="310">
      <c r="A310" s="18"/>
      <c r="B310" s="11"/>
      <c r="C310" s="11"/>
      <c r="D310" s="11"/>
      <c r="E310" s="11"/>
      <c r="F310" s="11"/>
      <c r="G310" s="11"/>
      <c r="H310" s="11"/>
      <c r="I310" s="11"/>
      <c r="J310" s="11"/>
      <c r="K310" s="11"/>
      <c r="L310" s="15"/>
      <c r="M310" s="15"/>
      <c r="N310" s="15"/>
      <c r="O310" s="15"/>
      <c r="P310" s="15"/>
      <c r="Q310" s="11"/>
      <c r="R310" s="11"/>
      <c r="S310" s="11"/>
      <c r="T310" s="11"/>
      <c r="U310" s="15"/>
      <c r="V310" s="11"/>
      <c r="W310" s="11"/>
      <c r="X310" s="11"/>
      <c r="Y310" s="11"/>
      <c r="Z310" s="11"/>
    </row>
    <row r="311">
      <c r="A311" s="18"/>
      <c r="B311" s="11"/>
      <c r="C311" s="11"/>
      <c r="D311" s="11"/>
      <c r="E311" s="11"/>
      <c r="F311" s="11"/>
      <c r="G311" s="11"/>
      <c r="H311" s="11"/>
      <c r="I311" s="11"/>
      <c r="J311" s="11"/>
      <c r="K311" s="11"/>
      <c r="L311" s="15"/>
      <c r="M311" s="15"/>
      <c r="N311" s="15"/>
      <c r="O311" s="15"/>
      <c r="P311" s="15"/>
      <c r="Q311" s="11"/>
      <c r="R311" s="11"/>
      <c r="S311" s="11"/>
      <c r="T311" s="11"/>
      <c r="U311" s="15"/>
      <c r="V311" s="11"/>
      <c r="W311" s="11"/>
      <c r="X311" s="11"/>
      <c r="Y311" s="11"/>
      <c r="Z311" s="11"/>
    </row>
    <row r="312">
      <c r="A312" s="18"/>
      <c r="B312" s="11"/>
      <c r="C312" s="11"/>
      <c r="D312" s="11"/>
      <c r="E312" s="11"/>
      <c r="F312" s="11"/>
      <c r="G312" s="11"/>
      <c r="H312" s="11"/>
      <c r="I312" s="11"/>
      <c r="J312" s="11"/>
      <c r="K312" s="11"/>
      <c r="L312" s="15"/>
      <c r="M312" s="15"/>
      <c r="N312" s="15"/>
      <c r="O312" s="15"/>
      <c r="P312" s="15"/>
      <c r="Q312" s="11"/>
      <c r="R312" s="11"/>
      <c r="S312" s="11"/>
      <c r="T312" s="11"/>
      <c r="U312" s="15"/>
      <c r="V312" s="11"/>
      <c r="W312" s="11"/>
      <c r="X312" s="11"/>
      <c r="Y312" s="11"/>
      <c r="Z312" s="11"/>
    </row>
    <row r="313">
      <c r="A313" s="18"/>
      <c r="B313" s="11"/>
      <c r="C313" s="11"/>
      <c r="D313" s="11"/>
      <c r="E313" s="11"/>
      <c r="F313" s="11"/>
      <c r="G313" s="11"/>
      <c r="H313" s="11"/>
      <c r="I313" s="11"/>
      <c r="J313" s="11"/>
      <c r="K313" s="11"/>
      <c r="L313" s="15"/>
      <c r="M313" s="15"/>
      <c r="N313" s="15"/>
      <c r="O313" s="15"/>
      <c r="P313" s="15"/>
      <c r="Q313" s="11"/>
      <c r="R313" s="11"/>
      <c r="S313" s="11"/>
      <c r="T313" s="11"/>
      <c r="U313" s="15"/>
      <c r="V313" s="11"/>
      <c r="W313" s="11"/>
      <c r="X313" s="11"/>
      <c r="Y313" s="11"/>
      <c r="Z313" s="11"/>
    </row>
    <row r="314">
      <c r="A314" s="18"/>
      <c r="B314" s="11"/>
      <c r="C314" s="11"/>
      <c r="D314" s="11"/>
      <c r="E314" s="11"/>
      <c r="F314" s="11"/>
      <c r="G314" s="11"/>
      <c r="H314" s="11"/>
      <c r="I314" s="11"/>
      <c r="J314" s="11"/>
      <c r="K314" s="11"/>
      <c r="L314" s="15"/>
      <c r="M314" s="15"/>
      <c r="N314" s="15"/>
      <c r="O314" s="15"/>
      <c r="P314" s="15"/>
      <c r="Q314" s="11"/>
      <c r="R314" s="11"/>
      <c r="S314" s="11"/>
      <c r="T314" s="11"/>
      <c r="U314" s="15"/>
      <c r="V314" s="11"/>
      <c r="W314" s="11"/>
      <c r="X314" s="11"/>
      <c r="Y314" s="11"/>
      <c r="Z314" s="11"/>
    </row>
    <row r="315">
      <c r="A315" s="18"/>
      <c r="B315" s="11"/>
      <c r="C315" s="11"/>
      <c r="D315" s="11"/>
      <c r="E315" s="11"/>
      <c r="F315" s="11"/>
      <c r="G315" s="11"/>
      <c r="H315" s="11"/>
      <c r="I315" s="11"/>
      <c r="J315" s="11"/>
      <c r="K315" s="11"/>
      <c r="L315" s="15"/>
      <c r="M315" s="15"/>
      <c r="N315" s="15"/>
      <c r="O315" s="15"/>
      <c r="P315" s="15"/>
      <c r="Q315" s="11"/>
      <c r="R315" s="11"/>
      <c r="S315" s="11"/>
      <c r="T315" s="11"/>
      <c r="U315" s="15"/>
      <c r="V315" s="11"/>
      <c r="W315" s="11"/>
      <c r="X315" s="11"/>
      <c r="Y315" s="11"/>
      <c r="Z315" s="11"/>
    </row>
    <row r="316">
      <c r="A316" s="18"/>
      <c r="B316" s="11"/>
      <c r="C316" s="11"/>
      <c r="D316" s="11"/>
      <c r="E316" s="11"/>
      <c r="F316" s="11"/>
      <c r="G316" s="11"/>
      <c r="H316" s="11"/>
      <c r="I316" s="11"/>
      <c r="J316" s="11"/>
      <c r="K316" s="11"/>
      <c r="L316" s="15"/>
      <c r="M316" s="15"/>
      <c r="N316" s="15"/>
      <c r="O316" s="15"/>
      <c r="P316" s="15"/>
      <c r="Q316" s="11"/>
      <c r="R316" s="11"/>
      <c r="S316" s="11"/>
      <c r="T316" s="11"/>
      <c r="U316" s="15"/>
      <c r="V316" s="11"/>
      <c r="W316" s="11"/>
      <c r="X316" s="11"/>
      <c r="Y316" s="11"/>
      <c r="Z316" s="11"/>
    </row>
    <row r="317">
      <c r="A317" s="18"/>
      <c r="B317" s="11"/>
      <c r="C317" s="11"/>
      <c r="D317" s="11"/>
      <c r="E317" s="11"/>
      <c r="F317" s="11"/>
      <c r="G317" s="11"/>
      <c r="H317" s="11"/>
      <c r="I317" s="11"/>
      <c r="J317" s="11"/>
      <c r="K317" s="11"/>
      <c r="L317" s="15"/>
      <c r="M317" s="15"/>
      <c r="N317" s="15"/>
      <c r="O317" s="15"/>
      <c r="P317" s="15"/>
      <c r="Q317" s="11"/>
      <c r="R317" s="11"/>
      <c r="S317" s="11"/>
      <c r="T317" s="11"/>
      <c r="U317" s="15"/>
      <c r="V317" s="11"/>
      <c r="W317" s="11"/>
      <c r="X317" s="11"/>
      <c r="Y317" s="11"/>
      <c r="Z317" s="11"/>
    </row>
    <row r="318">
      <c r="A318" s="18"/>
      <c r="B318" s="11"/>
      <c r="C318" s="11"/>
      <c r="D318" s="11"/>
      <c r="E318" s="11"/>
      <c r="F318" s="11"/>
      <c r="G318" s="11"/>
      <c r="H318" s="11"/>
      <c r="I318" s="11"/>
      <c r="J318" s="11"/>
      <c r="K318" s="11"/>
      <c r="L318" s="15"/>
      <c r="M318" s="15"/>
      <c r="N318" s="15"/>
      <c r="O318" s="15"/>
      <c r="P318" s="15"/>
      <c r="Q318" s="11"/>
      <c r="R318" s="11"/>
      <c r="S318" s="11"/>
      <c r="T318" s="11"/>
      <c r="U318" s="15"/>
      <c r="V318" s="11"/>
      <c r="W318" s="11"/>
      <c r="X318" s="11"/>
      <c r="Y318" s="11"/>
      <c r="Z318" s="11"/>
    </row>
    <row r="319">
      <c r="A319" s="18"/>
      <c r="B319" s="11"/>
      <c r="C319" s="11"/>
      <c r="D319" s="11"/>
      <c r="E319" s="11"/>
      <c r="F319" s="11"/>
      <c r="G319" s="11"/>
      <c r="H319" s="11"/>
      <c r="I319" s="11"/>
      <c r="J319" s="11"/>
      <c r="K319" s="11"/>
      <c r="L319" s="15"/>
      <c r="M319" s="15"/>
      <c r="N319" s="15"/>
      <c r="O319" s="15"/>
      <c r="P319" s="15"/>
      <c r="Q319" s="11"/>
      <c r="R319" s="11"/>
      <c r="S319" s="11"/>
      <c r="T319" s="11"/>
      <c r="U319" s="15"/>
      <c r="V319" s="11"/>
      <c r="W319" s="11"/>
      <c r="X319" s="11"/>
      <c r="Y319" s="11"/>
      <c r="Z319" s="11"/>
    </row>
    <row r="320">
      <c r="A320" s="18"/>
      <c r="B320" s="11"/>
      <c r="C320" s="11"/>
      <c r="D320" s="11"/>
      <c r="E320" s="11"/>
      <c r="F320" s="11"/>
      <c r="G320" s="11"/>
      <c r="H320" s="11"/>
      <c r="I320" s="11"/>
      <c r="J320" s="11"/>
      <c r="K320" s="11"/>
      <c r="L320" s="15"/>
      <c r="M320" s="15"/>
      <c r="N320" s="15"/>
      <c r="O320" s="15"/>
      <c r="P320" s="15"/>
      <c r="Q320" s="11"/>
      <c r="R320" s="11"/>
      <c r="S320" s="11"/>
      <c r="T320" s="11"/>
      <c r="U320" s="15"/>
      <c r="V320" s="11"/>
      <c r="W320" s="11"/>
      <c r="X320" s="11"/>
      <c r="Y320" s="11"/>
      <c r="Z320" s="11"/>
    </row>
    <row r="321">
      <c r="A321" s="18"/>
      <c r="B321" s="11"/>
      <c r="C321" s="11"/>
      <c r="D321" s="11"/>
      <c r="E321" s="11"/>
      <c r="F321" s="11"/>
      <c r="G321" s="11"/>
      <c r="H321" s="11"/>
      <c r="I321" s="11"/>
      <c r="J321" s="11"/>
      <c r="K321" s="11"/>
      <c r="L321" s="15"/>
      <c r="M321" s="15"/>
      <c r="N321" s="15"/>
      <c r="O321" s="15"/>
      <c r="P321" s="15"/>
      <c r="Q321" s="11"/>
      <c r="R321" s="11"/>
      <c r="S321" s="11"/>
      <c r="T321" s="11"/>
      <c r="U321" s="15"/>
      <c r="V321" s="11"/>
      <c r="W321" s="11"/>
      <c r="X321" s="11"/>
      <c r="Y321" s="11"/>
      <c r="Z321" s="11"/>
    </row>
    <row r="322">
      <c r="A322" s="18"/>
      <c r="B322" s="11"/>
      <c r="C322" s="11"/>
      <c r="D322" s="11"/>
      <c r="E322" s="11"/>
      <c r="F322" s="11"/>
      <c r="G322" s="11"/>
      <c r="H322" s="11"/>
      <c r="I322" s="11"/>
      <c r="J322" s="11"/>
      <c r="K322" s="11"/>
      <c r="L322" s="15"/>
      <c r="M322" s="15"/>
      <c r="N322" s="15"/>
      <c r="O322" s="15"/>
      <c r="P322" s="15"/>
      <c r="Q322" s="11"/>
      <c r="R322" s="11"/>
      <c r="S322" s="11"/>
      <c r="T322" s="11"/>
      <c r="U322" s="15"/>
      <c r="V322" s="11"/>
      <c r="W322" s="11"/>
      <c r="X322" s="11"/>
      <c r="Y322" s="11"/>
      <c r="Z322" s="11"/>
    </row>
    <row r="323">
      <c r="A323" s="18"/>
      <c r="B323" s="11"/>
      <c r="C323" s="11"/>
      <c r="D323" s="11"/>
      <c r="E323" s="11"/>
      <c r="F323" s="11"/>
      <c r="G323" s="11"/>
      <c r="H323" s="11"/>
      <c r="I323" s="11"/>
      <c r="J323" s="11"/>
      <c r="K323" s="11"/>
      <c r="L323" s="15"/>
      <c r="M323" s="15"/>
      <c r="N323" s="15"/>
      <c r="O323" s="15"/>
      <c r="P323" s="15"/>
      <c r="Q323" s="11"/>
      <c r="R323" s="11"/>
      <c r="S323" s="11"/>
      <c r="T323" s="11"/>
      <c r="U323" s="15"/>
      <c r="V323" s="11"/>
      <c r="W323" s="11"/>
      <c r="X323" s="11"/>
      <c r="Y323" s="11"/>
      <c r="Z323" s="11"/>
    </row>
    <row r="324">
      <c r="A324" s="18"/>
      <c r="B324" s="11"/>
      <c r="C324" s="11"/>
      <c r="D324" s="11"/>
      <c r="E324" s="11"/>
      <c r="F324" s="11"/>
      <c r="G324" s="11"/>
      <c r="H324" s="11"/>
      <c r="I324" s="11"/>
      <c r="J324" s="11"/>
      <c r="K324" s="11"/>
      <c r="L324" s="15"/>
      <c r="M324" s="15"/>
      <c r="N324" s="15"/>
      <c r="O324" s="15"/>
      <c r="P324" s="15"/>
      <c r="Q324" s="11"/>
      <c r="R324" s="11"/>
      <c r="S324" s="11"/>
      <c r="T324" s="11"/>
      <c r="U324" s="15"/>
      <c r="V324" s="11"/>
      <c r="W324" s="11"/>
      <c r="X324" s="11"/>
      <c r="Y324" s="11"/>
      <c r="Z324" s="11"/>
    </row>
    <row r="325">
      <c r="A325" s="18"/>
      <c r="B325" s="11"/>
      <c r="C325" s="11"/>
      <c r="D325" s="11"/>
      <c r="E325" s="11"/>
      <c r="F325" s="11"/>
      <c r="G325" s="11"/>
      <c r="H325" s="11"/>
      <c r="I325" s="11"/>
      <c r="J325" s="11"/>
      <c r="K325" s="11"/>
      <c r="L325" s="15"/>
      <c r="M325" s="15"/>
      <c r="N325" s="15"/>
      <c r="O325" s="15"/>
      <c r="P325" s="15"/>
      <c r="Q325" s="11"/>
      <c r="R325" s="11"/>
      <c r="S325" s="11"/>
      <c r="T325" s="11"/>
      <c r="U325" s="15"/>
      <c r="V325" s="11"/>
      <c r="W325" s="11"/>
      <c r="X325" s="11"/>
      <c r="Y325" s="11"/>
      <c r="Z325" s="11"/>
    </row>
    <row r="326">
      <c r="A326" s="18"/>
      <c r="B326" s="11"/>
      <c r="C326" s="11"/>
      <c r="D326" s="11"/>
      <c r="E326" s="11"/>
      <c r="F326" s="11"/>
      <c r="G326" s="11"/>
      <c r="H326" s="11"/>
      <c r="I326" s="11"/>
      <c r="J326" s="11"/>
      <c r="K326" s="11"/>
      <c r="L326" s="15"/>
      <c r="M326" s="15"/>
      <c r="N326" s="15"/>
      <c r="O326" s="15"/>
      <c r="P326" s="15"/>
      <c r="Q326" s="11"/>
      <c r="R326" s="11"/>
      <c r="S326" s="11"/>
      <c r="T326" s="11"/>
      <c r="U326" s="15"/>
      <c r="V326" s="11"/>
      <c r="W326" s="11"/>
      <c r="X326" s="11"/>
      <c r="Y326" s="11"/>
      <c r="Z326" s="11"/>
    </row>
    <row r="327">
      <c r="A327" s="18"/>
      <c r="B327" s="11"/>
      <c r="C327" s="11"/>
      <c r="D327" s="11"/>
      <c r="E327" s="11"/>
      <c r="F327" s="11"/>
      <c r="G327" s="11"/>
      <c r="H327" s="11"/>
      <c r="I327" s="11"/>
      <c r="J327" s="11"/>
      <c r="K327" s="11"/>
      <c r="L327" s="15"/>
      <c r="M327" s="15"/>
      <c r="N327" s="15"/>
      <c r="O327" s="15"/>
      <c r="P327" s="15"/>
      <c r="Q327" s="11"/>
      <c r="R327" s="11"/>
      <c r="S327" s="11"/>
      <c r="T327" s="11"/>
      <c r="U327" s="15"/>
      <c r="V327" s="11"/>
      <c r="W327" s="11"/>
      <c r="X327" s="11"/>
      <c r="Y327" s="11"/>
      <c r="Z327" s="11"/>
    </row>
    <row r="328">
      <c r="A328" s="18"/>
      <c r="B328" s="11"/>
      <c r="C328" s="11"/>
      <c r="D328" s="11"/>
      <c r="E328" s="11"/>
      <c r="F328" s="11"/>
      <c r="G328" s="11"/>
      <c r="H328" s="11"/>
      <c r="I328" s="11"/>
      <c r="J328" s="11"/>
      <c r="K328" s="11"/>
      <c r="L328" s="15"/>
      <c r="M328" s="15"/>
      <c r="N328" s="15"/>
      <c r="O328" s="15"/>
      <c r="P328" s="15"/>
      <c r="Q328" s="11"/>
      <c r="R328" s="11"/>
      <c r="S328" s="11"/>
      <c r="T328" s="11"/>
      <c r="U328" s="15"/>
      <c r="V328" s="11"/>
      <c r="W328" s="11"/>
      <c r="X328" s="11"/>
      <c r="Y328" s="11"/>
      <c r="Z328" s="11"/>
    </row>
    <row r="329">
      <c r="A329" s="18"/>
      <c r="B329" s="11"/>
      <c r="C329" s="11"/>
      <c r="D329" s="11"/>
      <c r="E329" s="11"/>
      <c r="F329" s="11"/>
      <c r="G329" s="11"/>
      <c r="H329" s="11"/>
      <c r="I329" s="11"/>
      <c r="J329" s="11"/>
      <c r="K329" s="11"/>
      <c r="L329" s="15"/>
      <c r="M329" s="15"/>
      <c r="N329" s="15"/>
      <c r="O329" s="15"/>
      <c r="P329" s="15"/>
      <c r="Q329" s="11"/>
      <c r="R329" s="11"/>
      <c r="S329" s="11"/>
      <c r="T329" s="11"/>
      <c r="U329" s="15"/>
      <c r="V329" s="11"/>
      <c r="W329" s="11"/>
      <c r="X329" s="11"/>
      <c r="Y329" s="11"/>
      <c r="Z329" s="11"/>
    </row>
    <row r="330">
      <c r="A330" s="18"/>
      <c r="B330" s="11"/>
      <c r="C330" s="11"/>
      <c r="D330" s="11"/>
      <c r="E330" s="11"/>
      <c r="F330" s="11"/>
      <c r="G330" s="11"/>
      <c r="H330" s="11"/>
      <c r="I330" s="11"/>
      <c r="J330" s="11"/>
      <c r="K330" s="11"/>
      <c r="L330" s="15"/>
      <c r="M330" s="15"/>
      <c r="N330" s="15"/>
      <c r="O330" s="15"/>
      <c r="P330" s="15"/>
      <c r="Q330" s="11"/>
      <c r="R330" s="11"/>
      <c r="S330" s="11"/>
      <c r="T330" s="11"/>
      <c r="U330" s="15"/>
      <c r="V330" s="11"/>
      <c r="W330" s="11"/>
      <c r="X330" s="11"/>
      <c r="Y330" s="11"/>
      <c r="Z330" s="11"/>
    </row>
    <row r="331">
      <c r="A331" s="18"/>
      <c r="B331" s="11"/>
      <c r="C331" s="11"/>
      <c r="D331" s="11"/>
      <c r="E331" s="11"/>
      <c r="F331" s="11"/>
      <c r="G331" s="11"/>
      <c r="H331" s="11"/>
      <c r="I331" s="11"/>
      <c r="J331" s="11"/>
      <c r="K331" s="11"/>
      <c r="L331" s="15"/>
      <c r="M331" s="15"/>
      <c r="N331" s="15"/>
      <c r="O331" s="15"/>
      <c r="P331" s="15"/>
      <c r="Q331" s="11"/>
      <c r="R331" s="11"/>
      <c r="S331" s="11"/>
      <c r="T331" s="11"/>
      <c r="U331" s="15"/>
      <c r="V331" s="11"/>
      <c r="W331" s="11"/>
      <c r="X331" s="11"/>
      <c r="Y331" s="11"/>
      <c r="Z331" s="11"/>
    </row>
    <row r="332">
      <c r="A332" s="18"/>
      <c r="B332" s="11"/>
      <c r="C332" s="11"/>
      <c r="D332" s="11"/>
      <c r="E332" s="11"/>
      <c r="F332" s="11"/>
      <c r="G332" s="11"/>
      <c r="H332" s="11"/>
      <c r="I332" s="11"/>
      <c r="J332" s="11"/>
      <c r="K332" s="11"/>
      <c r="L332" s="15"/>
      <c r="M332" s="15"/>
      <c r="N332" s="15"/>
      <c r="O332" s="15"/>
      <c r="P332" s="15"/>
      <c r="Q332" s="11"/>
      <c r="R332" s="11"/>
      <c r="S332" s="11"/>
      <c r="T332" s="11"/>
      <c r="U332" s="15"/>
      <c r="V332" s="11"/>
      <c r="W332" s="11"/>
      <c r="X332" s="11"/>
      <c r="Y332" s="11"/>
      <c r="Z332" s="11"/>
    </row>
    <row r="333">
      <c r="A333" s="18"/>
      <c r="B333" s="11"/>
      <c r="C333" s="11"/>
      <c r="D333" s="11"/>
      <c r="E333" s="11"/>
      <c r="F333" s="11"/>
      <c r="G333" s="11"/>
      <c r="H333" s="11"/>
      <c r="I333" s="11"/>
      <c r="J333" s="11"/>
      <c r="K333" s="11"/>
      <c r="L333" s="15"/>
      <c r="M333" s="15"/>
      <c r="N333" s="15"/>
      <c r="O333" s="15"/>
      <c r="P333" s="15"/>
      <c r="Q333" s="11"/>
      <c r="R333" s="11"/>
      <c r="S333" s="11"/>
      <c r="T333" s="11"/>
      <c r="U333" s="15"/>
      <c r="V333" s="11"/>
      <c r="W333" s="11"/>
      <c r="X333" s="11"/>
      <c r="Y333" s="11"/>
      <c r="Z333" s="11"/>
    </row>
    <row r="334">
      <c r="A334" s="18"/>
      <c r="B334" s="11"/>
      <c r="C334" s="11"/>
      <c r="D334" s="11"/>
      <c r="E334" s="11"/>
      <c r="F334" s="11"/>
      <c r="G334" s="11"/>
      <c r="H334" s="11"/>
      <c r="I334" s="11"/>
      <c r="J334" s="11"/>
      <c r="K334" s="11"/>
      <c r="L334" s="15"/>
      <c r="M334" s="15"/>
      <c r="N334" s="15"/>
      <c r="O334" s="15"/>
      <c r="P334" s="15"/>
      <c r="Q334" s="11"/>
      <c r="R334" s="11"/>
      <c r="S334" s="11"/>
      <c r="T334" s="11"/>
      <c r="U334" s="15"/>
      <c r="V334" s="11"/>
      <c r="W334" s="11"/>
      <c r="X334" s="11"/>
      <c r="Y334" s="11"/>
      <c r="Z334" s="11"/>
    </row>
    <row r="335">
      <c r="A335" s="18"/>
      <c r="B335" s="11"/>
      <c r="C335" s="11"/>
      <c r="D335" s="11"/>
      <c r="E335" s="11"/>
      <c r="F335" s="11"/>
      <c r="G335" s="11"/>
      <c r="H335" s="11"/>
      <c r="I335" s="11"/>
      <c r="J335" s="11"/>
      <c r="K335" s="11"/>
      <c r="L335" s="15"/>
      <c r="M335" s="15"/>
      <c r="N335" s="15"/>
      <c r="O335" s="15"/>
      <c r="P335" s="15"/>
      <c r="Q335" s="11"/>
      <c r="R335" s="11"/>
      <c r="S335" s="11"/>
      <c r="T335" s="11"/>
      <c r="U335" s="15"/>
      <c r="V335" s="11"/>
      <c r="W335" s="11"/>
      <c r="X335" s="11"/>
      <c r="Y335" s="11"/>
      <c r="Z335" s="11"/>
    </row>
    <row r="336">
      <c r="A336" s="18"/>
      <c r="B336" s="11"/>
      <c r="C336" s="11"/>
      <c r="D336" s="11"/>
      <c r="E336" s="11"/>
      <c r="F336" s="11"/>
      <c r="G336" s="11"/>
      <c r="H336" s="11"/>
      <c r="I336" s="11"/>
      <c r="J336" s="11"/>
      <c r="K336" s="11"/>
      <c r="L336" s="15"/>
      <c r="M336" s="15"/>
      <c r="N336" s="15"/>
      <c r="O336" s="15"/>
      <c r="P336" s="15"/>
      <c r="Q336" s="11"/>
      <c r="R336" s="11"/>
      <c r="S336" s="11"/>
      <c r="T336" s="11"/>
      <c r="U336" s="15"/>
      <c r="V336" s="11"/>
      <c r="W336" s="11"/>
      <c r="X336" s="11"/>
      <c r="Y336" s="11"/>
      <c r="Z336" s="11"/>
    </row>
    <row r="337">
      <c r="A337" s="18"/>
      <c r="B337" s="11"/>
      <c r="C337" s="11"/>
      <c r="D337" s="11"/>
      <c r="E337" s="11"/>
      <c r="F337" s="11"/>
      <c r="G337" s="11"/>
      <c r="H337" s="11"/>
      <c r="I337" s="11"/>
      <c r="J337" s="11"/>
      <c r="K337" s="11"/>
      <c r="L337" s="15"/>
      <c r="M337" s="15"/>
      <c r="N337" s="15"/>
      <c r="O337" s="15"/>
      <c r="P337" s="15"/>
      <c r="Q337" s="11"/>
      <c r="R337" s="11"/>
      <c r="S337" s="11"/>
      <c r="T337" s="11"/>
      <c r="U337" s="15"/>
      <c r="V337" s="11"/>
      <c r="W337" s="11"/>
      <c r="X337" s="11"/>
      <c r="Y337" s="11"/>
      <c r="Z337" s="11"/>
    </row>
    <row r="338">
      <c r="A338" s="18"/>
      <c r="B338" s="11"/>
      <c r="C338" s="11"/>
      <c r="D338" s="11"/>
      <c r="E338" s="11"/>
      <c r="F338" s="11"/>
      <c r="G338" s="11"/>
      <c r="H338" s="11"/>
      <c r="I338" s="11"/>
      <c r="J338" s="11"/>
      <c r="K338" s="11"/>
      <c r="L338" s="15"/>
      <c r="M338" s="15"/>
      <c r="N338" s="15"/>
      <c r="O338" s="15"/>
      <c r="P338" s="15"/>
      <c r="Q338" s="11"/>
      <c r="R338" s="11"/>
      <c r="S338" s="11"/>
      <c r="T338" s="11"/>
      <c r="U338" s="15"/>
      <c r="V338" s="11"/>
      <c r="W338" s="11"/>
      <c r="X338" s="11"/>
      <c r="Y338" s="11"/>
      <c r="Z338" s="11"/>
    </row>
    <row r="339">
      <c r="A339" s="18"/>
      <c r="B339" s="11"/>
      <c r="C339" s="11"/>
      <c r="D339" s="11"/>
      <c r="E339" s="11"/>
      <c r="F339" s="11"/>
      <c r="G339" s="11"/>
      <c r="H339" s="11"/>
      <c r="I339" s="11"/>
      <c r="J339" s="11"/>
      <c r="K339" s="11"/>
      <c r="L339" s="15"/>
      <c r="M339" s="15"/>
      <c r="N339" s="15"/>
      <c r="O339" s="15"/>
      <c r="P339" s="15"/>
      <c r="Q339" s="11"/>
      <c r="R339" s="11"/>
      <c r="S339" s="11"/>
      <c r="T339" s="11"/>
      <c r="U339" s="15"/>
      <c r="V339" s="11"/>
      <c r="W339" s="11"/>
      <c r="X339" s="11"/>
      <c r="Y339" s="11"/>
      <c r="Z339" s="11"/>
    </row>
    <row r="340">
      <c r="A340" s="18"/>
      <c r="B340" s="11"/>
      <c r="C340" s="11"/>
      <c r="D340" s="11"/>
      <c r="E340" s="11"/>
      <c r="F340" s="11"/>
      <c r="G340" s="11"/>
      <c r="H340" s="11"/>
      <c r="I340" s="11"/>
      <c r="J340" s="11"/>
      <c r="K340" s="11"/>
      <c r="L340" s="15"/>
      <c r="M340" s="15"/>
      <c r="N340" s="15"/>
      <c r="O340" s="15"/>
      <c r="P340" s="15"/>
      <c r="Q340" s="11"/>
      <c r="R340" s="11"/>
      <c r="S340" s="11"/>
      <c r="T340" s="11"/>
      <c r="U340" s="15"/>
      <c r="V340" s="11"/>
      <c r="W340" s="11"/>
      <c r="X340" s="11"/>
      <c r="Y340" s="11"/>
      <c r="Z340" s="11"/>
    </row>
    <row r="341">
      <c r="A341" s="18"/>
      <c r="B341" s="11"/>
      <c r="C341" s="11"/>
      <c r="D341" s="11"/>
      <c r="E341" s="11"/>
      <c r="F341" s="11"/>
      <c r="G341" s="11"/>
      <c r="H341" s="11"/>
      <c r="I341" s="11"/>
      <c r="J341" s="11"/>
      <c r="K341" s="11"/>
      <c r="L341" s="15"/>
      <c r="M341" s="15"/>
      <c r="N341" s="15"/>
      <c r="O341" s="15"/>
      <c r="P341" s="15"/>
      <c r="Q341" s="11"/>
      <c r="R341" s="11"/>
      <c r="S341" s="11"/>
      <c r="T341" s="11"/>
      <c r="U341" s="15"/>
      <c r="V341" s="11"/>
      <c r="W341" s="11"/>
      <c r="X341" s="11"/>
      <c r="Y341" s="11"/>
      <c r="Z341" s="11"/>
    </row>
    <row r="342">
      <c r="A342" s="18"/>
      <c r="B342" s="11"/>
      <c r="C342" s="11"/>
      <c r="D342" s="11"/>
      <c r="E342" s="11"/>
      <c r="F342" s="11"/>
      <c r="G342" s="11"/>
      <c r="H342" s="11"/>
      <c r="I342" s="11"/>
      <c r="J342" s="11"/>
      <c r="K342" s="11"/>
      <c r="L342" s="15"/>
      <c r="M342" s="15"/>
      <c r="N342" s="15"/>
      <c r="O342" s="15"/>
      <c r="P342" s="15"/>
      <c r="Q342" s="11"/>
      <c r="R342" s="11"/>
      <c r="S342" s="11"/>
      <c r="T342" s="11"/>
      <c r="U342" s="15"/>
      <c r="V342" s="11"/>
      <c r="W342" s="11"/>
      <c r="X342" s="11"/>
      <c r="Y342" s="11"/>
      <c r="Z342" s="11"/>
    </row>
    <row r="343">
      <c r="A343" s="18"/>
      <c r="B343" s="11"/>
      <c r="C343" s="11"/>
      <c r="D343" s="11"/>
      <c r="E343" s="11"/>
      <c r="F343" s="11"/>
      <c r="G343" s="11"/>
      <c r="H343" s="11"/>
      <c r="I343" s="11"/>
      <c r="J343" s="11"/>
      <c r="K343" s="11"/>
      <c r="L343" s="15"/>
      <c r="M343" s="15"/>
      <c r="N343" s="15"/>
      <c r="O343" s="15"/>
      <c r="P343" s="15"/>
      <c r="Q343" s="11"/>
      <c r="R343" s="11"/>
      <c r="S343" s="11"/>
      <c r="T343" s="11"/>
      <c r="U343" s="15"/>
      <c r="V343" s="11"/>
      <c r="W343" s="11"/>
      <c r="X343" s="11"/>
      <c r="Y343" s="11"/>
      <c r="Z343" s="11"/>
    </row>
    <row r="344">
      <c r="A344" s="18"/>
      <c r="B344" s="11"/>
      <c r="C344" s="11"/>
      <c r="D344" s="11"/>
      <c r="E344" s="11"/>
      <c r="F344" s="11"/>
      <c r="G344" s="11"/>
      <c r="H344" s="11"/>
      <c r="I344" s="11"/>
      <c r="J344" s="11"/>
      <c r="K344" s="11"/>
      <c r="L344" s="15"/>
      <c r="M344" s="15"/>
      <c r="N344" s="15"/>
      <c r="O344" s="15"/>
      <c r="P344" s="15"/>
      <c r="Q344" s="11"/>
      <c r="R344" s="11"/>
      <c r="S344" s="11"/>
      <c r="T344" s="11"/>
      <c r="U344" s="15"/>
      <c r="V344" s="11"/>
      <c r="W344" s="11"/>
      <c r="X344" s="11"/>
      <c r="Y344" s="11"/>
      <c r="Z344" s="11"/>
    </row>
    <row r="345">
      <c r="A345" s="18"/>
      <c r="B345" s="11"/>
      <c r="C345" s="11"/>
      <c r="D345" s="11"/>
      <c r="E345" s="11"/>
      <c r="F345" s="11"/>
      <c r="G345" s="11"/>
      <c r="H345" s="11"/>
      <c r="I345" s="11"/>
      <c r="J345" s="11"/>
      <c r="K345" s="11"/>
      <c r="L345" s="15"/>
      <c r="M345" s="15"/>
      <c r="N345" s="15"/>
      <c r="O345" s="15"/>
      <c r="P345" s="15"/>
      <c r="Q345" s="11"/>
      <c r="R345" s="11"/>
      <c r="S345" s="11"/>
      <c r="T345" s="11"/>
      <c r="U345" s="15"/>
      <c r="V345" s="11"/>
      <c r="W345" s="11"/>
      <c r="X345" s="11"/>
      <c r="Y345" s="11"/>
      <c r="Z345" s="11"/>
    </row>
    <row r="346">
      <c r="A346" s="18"/>
      <c r="B346" s="11"/>
      <c r="C346" s="11"/>
      <c r="D346" s="11"/>
      <c r="E346" s="11"/>
      <c r="F346" s="11"/>
      <c r="G346" s="11"/>
      <c r="H346" s="11"/>
      <c r="I346" s="11"/>
      <c r="J346" s="11"/>
      <c r="K346" s="11"/>
      <c r="L346" s="15"/>
      <c r="M346" s="15"/>
      <c r="N346" s="15"/>
      <c r="O346" s="15"/>
      <c r="P346" s="15"/>
      <c r="Q346" s="11"/>
      <c r="R346" s="11"/>
      <c r="S346" s="11"/>
      <c r="T346" s="11"/>
      <c r="U346" s="15"/>
      <c r="V346" s="11"/>
      <c r="W346" s="11"/>
      <c r="X346" s="11"/>
      <c r="Y346" s="11"/>
      <c r="Z346" s="11"/>
    </row>
    <row r="347">
      <c r="A347" s="18"/>
      <c r="B347" s="11"/>
      <c r="C347" s="11"/>
      <c r="D347" s="11"/>
      <c r="E347" s="11"/>
      <c r="F347" s="11"/>
      <c r="G347" s="11"/>
      <c r="H347" s="11"/>
      <c r="I347" s="11"/>
      <c r="J347" s="11"/>
      <c r="K347" s="11"/>
      <c r="L347" s="15"/>
      <c r="M347" s="15"/>
      <c r="N347" s="15"/>
      <c r="O347" s="15"/>
      <c r="P347" s="15"/>
      <c r="Q347" s="11"/>
      <c r="R347" s="11"/>
      <c r="S347" s="11"/>
      <c r="T347" s="11"/>
      <c r="U347" s="15"/>
      <c r="V347" s="11"/>
      <c r="W347" s="11"/>
      <c r="X347" s="11"/>
      <c r="Y347" s="11"/>
      <c r="Z347" s="11"/>
    </row>
    <row r="348">
      <c r="A348" s="18"/>
      <c r="B348" s="11"/>
      <c r="C348" s="11"/>
      <c r="D348" s="11"/>
      <c r="E348" s="11"/>
      <c r="F348" s="11"/>
      <c r="G348" s="11"/>
      <c r="H348" s="11"/>
      <c r="I348" s="11"/>
      <c r="J348" s="11"/>
      <c r="K348" s="11"/>
      <c r="L348" s="15"/>
      <c r="M348" s="15"/>
      <c r="N348" s="15"/>
      <c r="O348" s="15"/>
      <c r="P348" s="15"/>
      <c r="Q348" s="11"/>
      <c r="R348" s="11"/>
      <c r="S348" s="11"/>
      <c r="T348" s="11"/>
      <c r="U348" s="15"/>
      <c r="V348" s="11"/>
      <c r="W348" s="11"/>
      <c r="X348" s="11"/>
      <c r="Y348" s="11"/>
      <c r="Z348" s="11"/>
    </row>
    <row r="349">
      <c r="A349" s="18"/>
      <c r="B349" s="11"/>
      <c r="C349" s="11"/>
      <c r="D349" s="11"/>
      <c r="E349" s="11"/>
      <c r="F349" s="11"/>
      <c r="G349" s="11"/>
      <c r="H349" s="11"/>
      <c r="I349" s="11"/>
      <c r="J349" s="11"/>
      <c r="K349" s="11"/>
      <c r="L349" s="15"/>
      <c r="M349" s="15"/>
      <c r="N349" s="15"/>
      <c r="O349" s="15"/>
      <c r="P349" s="15"/>
      <c r="Q349" s="11"/>
      <c r="R349" s="11"/>
      <c r="S349" s="11"/>
      <c r="T349" s="11"/>
      <c r="U349" s="15"/>
      <c r="V349" s="11"/>
      <c r="W349" s="11"/>
      <c r="X349" s="11"/>
      <c r="Y349" s="11"/>
      <c r="Z349" s="11"/>
    </row>
    <row r="350">
      <c r="A350" s="18"/>
      <c r="B350" s="11"/>
      <c r="C350" s="11"/>
      <c r="D350" s="11"/>
      <c r="E350" s="11"/>
      <c r="F350" s="11"/>
      <c r="G350" s="11"/>
      <c r="H350" s="11"/>
      <c r="I350" s="11"/>
      <c r="J350" s="11"/>
      <c r="K350" s="11"/>
      <c r="L350" s="15"/>
      <c r="M350" s="15"/>
      <c r="N350" s="15"/>
      <c r="O350" s="15"/>
      <c r="P350" s="15"/>
      <c r="Q350" s="11"/>
      <c r="R350" s="11"/>
      <c r="S350" s="11"/>
      <c r="T350" s="11"/>
      <c r="U350" s="15"/>
      <c r="V350" s="11"/>
      <c r="W350" s="11"/>
      <c r="X350" s="11"/>
      <c r="Y350" s="11"/>
      <c r="Z350" s="11"/>
    </row>
    <row r="351">
      <c r="A351" s="18"/>
      <c r="B351" s="11"/>
      <c r="C351" s="11"/>
      <c r="D351" s="11"/>
      <c r="E351" s="11"/>
      <c r="F351" s="11"/>
      <c r="G351" s="11"/>
      <c r="H351" s="11"/>
      <c r="I351" s="11"/>
      <c r="J351" s="11"/>
      <c r="K351" s="11"/>
      <c r="L351" s="15"/>
      <c r="M351" s="15"/>
      <c r="N351" s="15"/>
      <c r="O351" s="15"/>
      <c r="P351" s="15"/>
      <c r="Q351" s="11"/>
      <c r="R351" s="11"/>
      <c r="S351" s="11"/>
      <c r="T351" s="11"/>
      <c r="U351" s="15"/>
      <c r="V351" s="11"/>
      <c r="W351" s="11"/>
      <c r="X351" s="11"/>
      <c r="Y351" s="11"/>
      <c r="Z351" s="11"/>
    </row>
    <row r="352">
      <c r="A352" s="18"/>
      <c r="B352" s="11"/>
      <c r="C352" s="11"/>
      <c r="D352" s="11"/>
      <c r="E352" s="11"/>
      <c r="F352" s="11"/>
      <c r="G352" s="11"/>
      <c r="H352" s="11"/>
      <c r="I352" s="11"/>
      <c r="J352" s="11"/>
      <c r="K352" s="11"/>
      <c r="L352" s="15"/>
      <c r="M352" s="15"/>
      <c r="N352" s="15"/>
      <c r="O352" s="15"/>
      <c r="P352" s="15"/>
      <c r="Q352" s="11"/>
      <c r="R352" s="11"/>
      <c r="S352" s="11"/>
      <c r="T352" s="11"/>
      <c r="U352" s="15"/>
      <c r="V352" s="11"/>
      <c r="W352" s="11"/>
      <c r="X352" s="11"/>
      <c r="Y352" s="11"/>
      <c r="Z352" s="11"/>
    </row>
    <row r="353">
      <c r="A353" s="18"/>
      <c r="B353" s="11"/>
      <c r="C353" s="11"/>
      <c r="D353" s="11"/>
      <c r="E353" s="11"/>
      <c r="F353" s="11"/>
      <c r="G353" s="11"/>
      <c r="H353" s="11"/>
      <c r="I353" s="11"/>
      <c r="J353" s="11"/>
      <c r="K353" s="11"/>
      <c r="L353" s="15"/>
      <c r="M353" s="15"/>
      <c r="N353" s="15"/>
      <c r="O353" s="15"/>
      <c r="P353" s="15"/>
      <c r="Q353" s="11"/>
      <c r="R353" s="11"/>
      <c r="S353" s="11"/>
      <c r="T353" s="11"/>
      <c r="U353" s="15"/>
      <c r="V353" s="11"/>
      <c r="W353" s="11"/>
      <c r="X353" s="11"/>
      <c r="Y353" s="11"/>
      <c r="Z353" s="11"/>
    </row>
    <row r="354">
      <c r="A354" s="18"/>
      <c r="B354" s="11"/>
      <c r="C354" s="11"/>
      <c r="D354" s="11"/>
      <c r="E354" s="11"/>
      <c r="F354" s="11"/>
      <c r="G354" s="11"/>
      <c r="H354" s="11"/>
      <c r="I354" s="11"/>
      <c r="J354" s="11"/>
      <c r="K354" s="11"/>
      <c r="L354" s="15"/>
      <c r="M354" s="15"/>
      <c r="N354" s="15"/>
      <c r="O354" s="15"/>
      <c r="P354" s="15"/>
      <c r="Q354" s="11"/>
      <c r="R354" s="11"/>
      <c r="S354" s="11"/>
      <c r="T354" s="11"/>
      <c r="U354" s="15"/>
      <c r="V354" s="11"/>
      <c r="W354" s="11"/>
      <c r="X354" s="11"/>
      <c r="Y354" s="11"/>
      <c r="Z354" s="11"/>
    </row>
    <row r="355">
      <c r="A355" s="18"/>
      <c r="B355" s="11"/>
      <c r="C355" s="11"/>
      <c r="D355" s="11"/>
      <c r="E355" s="11"/>
      <c r="F355" s="11"/>
      <c r="G355" s="11"/>
      <c r="H355" s="11"/>
      <c r="I355" s="11"/>
      <c r="J355" s="11"/>
      <c r="K355" s="11"/>
      <c r="L355" s="15"/>
      <c r="M355" s="15"/>
      <c r="N355" s="15"/>
      <c r="O355" s="15"/>
      <c r="P355" s="15"/>
      <c r="Q355" s="11"/>
      <c r="R355" s="11"/>
      <c r="S355" s="11"/>
      <c r="T355" s="11"/>
      <c r="U355" s="15"/>
      <c r="V355" s="11"/>
      <c r="W355" s="11"/>
      <c r="X355" s="11"/>
      <c r="Y355" s="11"/>
      <c r="Z355" s="11"/>
    </row>
    <row r="356">
      <c r="A356" s="18"/>
      <c r="B356" s="11"/>
      <c r="C356" s="11"/>
      <c r="D356" s="11"/>
      <c r="E356" s="11"/>
      <c r="F356" s="11"/>
      <c r="G356" s="11"/>
      <c r="H356" s="11"/>
      <c r="I356" s="11"/>
      <c r="J356" s="11"/>
      <c r="K356" s="11"/>
      <c r="L356" s="15"/>
      <c r="M356" s="15"/>
      <c r="N356" s="15"/>
      <c r="O356" s="15"/>
      <c r="P356" s="15"/>
      <c r="Q356" s="11"/>
      <c r="R356" s="11"/>
      <c r="S356" s="11"/>
      <c r="T356" s="11"/>
      <c r="U356" s="15"/>
      <c r="V356" s="11"/>
      <c r="W356" s="11"/>
      <c r="X356" s="11"/>
      <c r="Y356" s="11"/>
      <c r="Z356" s="11"/>
    </row>
    <row r="357">
      <c r="A357" s="18"/>
      <c r="B357" s="11"/>
      <c r="C357" s="11"/>
      <c r="D357" s="11"/>
      <c r="E357" s="11"/>
      <c r="F357" s="11"/>
      <c r="G357" s="11"/>
      <c r="H357" s="11"/>
      <c r="I357" s="11"/>
      <c r="J357" s="11"/>
      <c r="K357" s="11"/>
      <c r="L357" s="15"/>
      <c r="M357" s="15"/>
      <c r="N357" s="15"/>
      <c r="O357" s="15"/>
      <c r="P357" s="15"/>
      <c r="Q357" s="11"/>
      <c r="R357" s="11"/>
      <c r="S357" s="11"/>
      <c r="T357" s="11"/>
      <c r="U357" s="15"/>
      <c r="V357" s="11"/>
      <c r="W357" s="11"/>
      <c r="X357" s="11"/>
      <c r="Y357" s="11"/>
      <c r="Z357" s="11"/>
    </row>
    <row r="358">
      <c r="A358" s="18"/>
      <c r="B358" s="11"/>
      <c r="C358" s="11"/>
      <c r="D358" s="11"/>
      <c r="E358" s="11"/>
      <c r="F358" s="11"/>
      <c r="G358" s="11"/>
      <c r="H358" s="11"/>
      <c r="I358" s="11"/>
      <c r="J358" s="11"/>
      <c r="K358" s="11"/>
      <c r="L358" s="15"/>
      <c r="M358" s="15"/>
      <c r="N358" s="15"/>
      <c r="O358" s="15"/>
      <c r="P358" s="15"/>
      <c r="Q358" s="11"/>
      <c r="R358" s="11"/>
      <c r="S358" s="11"/>
      <c r="T358" s="11"/>
      <c r="U358" s="15"/>
      <c r="V358" s="11"/>
      <c r="W358" s="11"/>
      <c r="X358" s="11"/>
      <c r="Y358" s="11"/>
      <c r="Z358" s="11"/>
    </row>
    <row r="359">
      <c r="A359" s="18"/>
      <c r="B359" s="11"/>
      <c r="C359" s="11"/>
      <c r="D359" s="11"/>
      <c r="E359" s="11"/>
      <c r="F359" s="11"/>
      <c r="G359" s="11"/>
      <c r="H359" s="11"/>
      <c r="I359" s="11"/>
      <c r="J359" s="11"/>
      <c r="K359" s="11"/>
      <c r="L359" s="15"/>
      <c r="M359" s="15"/>
      <c r="N359" s="15"/>
      <c r="O359" s="15"/>
      <c r="P359" s="15"/>
      <c r="Q359" s="11"/>
      <c r="R359" s="11"/>
      <c r="S359" s="11"/>
      <c r="T359" s="11"/>
      <c r="U359" s="15"/>
      <c r="V359" s="11"/>
      <c r="W359" s="11"/>
      <c r="X359" s="11"/>
      <c r="Y359" s="11"/>
      <c r="Z359" s="11"/>
    </row>
    <row r="360">
      <c r="A360" s="18"/>
      <c r="B360" s="11"/>
      <c r="C360" s="11"/>
      <c r="D360" s="11"/>
      <c r="E360" s="11"/>
      <c r="F360" s="11"/>
      <c r="G360" s="11"/>
      <c r="H360" s="11"/>
      <c r="I360" s="11"/>
      <c r="J360" s="11"/>
      <c r="K360" s="11"/>
      <c r="L360" s="15"/>
      <c r="M360" s="15"/>
      <c r="N360" s="15"/>
      <c r="O360" s="15"/>
      <c r="P360" s="15"/>
      <c r="Q360" s="11"/>
      <c r="R360" s="11"/>
      <c r="S360" s="11"/>
      <c r="T360" s="11"/>
      <c r="U360" s="15"/>
      <c r="V360" s="11"/>
      <c r="W360" s="11"/>
      <c r="X360" s="11"/>
      <c r="Y360" s="11"/>
      <c r="Z360" s="11"/>
    </row>
    <row r="361">
      <c r="A361" s="18"/>
      <c r="B361" s="11"/>
      <c r="C361" s="11"/>
      <c r="D361" s="11"/>
      <c r="E361" s="11"/>
      <c r="F361" s="11"/>
      <c r="G361" s="11"/>
      <c r="H361" s="11"/>
      <c r="I361" s="11"/>
      <c r="J361" s="11"/>
      <c r="K361" s="11"/>
      <c r="L361" s="15"/>
      <c r="M361" s="15"/>
      <c r="N361" s="15"/>
      <c r="O361" s="15"/>
      <c r="P361" s="15"/>
      <c r="Q361" s="11"/>
      <c r="R361" s="11"/>
      <c r="S361" s="11"/>
      <c r="T361" s="11"/>
      <c r="U361" s="15"/>
      <c r="V361" s="11"/>
      <c r="W361" s="11"/>
      <c r="X361" s="11"/>
      <c r="Y361" s="11"/>
      <c r="Z361" s="11"/>
    </row>
    <row r="362">
      <c r="A362" s="18"/>
      <c r="B362" s="11"/>
      <c r="C362" s="11"/>
      <c r="D362" s="11"/>
      <c r="E362" s="11"/>
      <c r="F362" s="11"/>
      <c r="G362" s="11"/>
      <c r="H362" s="11"/>
      <c r="I362" s="11"/>
      <c r="J362" s="11"/>
      <c r="K362" s="11"/>
      <c r="L362" s="15"/>
      <c r="M362" s="15"/>
      <c r="N362" s="15"/>
      <c r="O362" s="15"/>
      <c r="P362" s="15"/>
      <c r="Q362" s="11"/>
      <c r="R362" s="11"/>
      <c r="S362" s="11"/>
      <c r="T362" s="11"/>
      <c r="U362" s="15"/>
      <c r="V362" s="11"/>
      <c r="W362" s="11"/>
      <c r="X362" s="11"/>
      <c r="Y362" s="11"/>
      <c r="Z362" s="11"/>
    </row>
    <row r="363">
      <c r="A363" s="18"/>
      <c r="B363" s="11"/>
      <c r="C363" s="11"/>
      <c r="D363" s="11"/>
      <c r="E363" s="11"/>
      <c r="F363" s="11"/>
      <c r="G363" s="11"/>
      <c r="H363" s="11"/>
      <c r="I363" s="11"/>
      <c r="J363" s="11"/>
      <c r="K363" s="11"/>
      <c r="L363" s="15"/>
      <c r="M363" s="15"/>
      <c r="N363" s="15"/>
      <c r="O363" s="15"/>
      <c r="P363" s="15"/>
      <c r="Q363" s="11"/>
      <c r="R363" s="11"/>
      <c r="S363" s="11"/>
      <c r="T363" s="11"/>
      <c r="U363" s="15"/>
      <c r="V363" s="11"/>
      <c r="W363" s="11"/>
      <c r="X363" s="11"/>
      <c r="Y363" s="11"/>
      <c r="Z363" s="11"/>
    </row>
    <row r="364">
      <c r="A364" s="18"/>
      <c r="B364" s="11"/>
      <c r="C364" s="11"/>
      <c r="D364" s="11"/>
      <c r="E364" s="11"/>
      <c r="F364" s="11"/>
      <c r="G364" s="11"/>
      <c r="H364" s="11"/>
      <c r="I364" s="11"/>
      <c r="J364" s="11"/>
      <c r="K364" s="11"/>
      <c r="L364" s="15"/>
      <c r="M364" s="15"/>
      <c r="N364" s="15"/>
      <c r="O364" s="15"/>
      <c r="P364" s="15"/>
      <c r="Q364" s="11"/>
      <c r="R364" s="11"/>
      <c r="S364" s="11"/>
      <c r="T364" s="11"/>
      <c r="U364" s="15"/>
      <c r="V364" s="11"/>
      <c r="W364" s="11"/>
      <c r="X364" s="11"/>
      <c r="Y364" s="11"/>
      <c r="Z364" s="11"/>
    </row>
    <row r="365">
      <c r="A365" s="18"/>
      <c r="B365" s="11"/>
      <c r="C365" s="11"/>
      <c r="D365" s="11"/>
      <c r="E365" s="11"/>
      <c r="F365" s="11"/>
      <c r="G365" s="11"/>
      <c r="H365" s="11"/>
      <c r="I365" s="11"/>
      <c r="J365" s="11"/>
      <c r="K365" s="11"/>
      <c r="L365" s="15"/>
      <c r="M365" s="15"/>
      <c r="N365" s="15"/>
      <c r="O365" s="15"/>
      <c r="P365" s="15"/>
      <c r="Q365" s="11"/>
      <c r="R365" s="11"/>
      <c r="S365" s="11"/>
      <c r="T365" s="11"/>
      <c r="U365" s="15"/>
      <c r="V365" s="11"/>
      <c r="W365" s="11"/>
      <c r="X365" s="11"/>
      <c r="Y365" s="11"/>
      <c r="Z365" s="11"/>
    </row>
    <row r="366">
      <c r="A366" s="18"/>
      <c r="B366" s="11"/>
      <c r="C366" s="11"/>
      <c r="D366" s="11"/>
      <c r="E366" s="11"/>
      <c r="F366" s="11"/>
      <c r="G366" s="11"/>
      <c r="H366" s="11"/>
      <c r="I366" s="11"/>
      <c r="J366" s="11"/>
      <c r="K366" s="11"/>
      <c r="L366" s="15"/>
      <c r="M366" s="15"/>
      <c r="N366" s="15"/>
      <c r="O366" s="15"/>
      <c r="P366" s="15"/>
      <c r="Q366" s="11"/>
      <c r="R366" s="11"/>
      <c r="S366" s="11"/>
      <c r="T366" s="11"/>
      <c r="U366" s="15"/>
      <c r="V366" s="11"/>
      <c r="W366" s="11"/>
      <c r="X366" s="11"/>
      <c r="Y366" s="11"/>
      <c r="Z366" s="11"/>
    </row>
    <row r="367">
      <c r="A367" s="18"/>
      <c r="B367" s="11"/>
      <c r="C367" s="11"/>
      <c r="D367" s="11"/>
      <c r="E367" s="11"/>
      <c r="F367" s="11"/>
      <c r="G367" s="11"/>
      <c r="H367" s="11"/>
      <c r="I367" s="11"/>
      <c r="J367" s="11"/>
      <c r="K367" s="11"/>
      <c r="L367" s="15"/>
      <c r="M367" s="15"/>
      <c r="N367" s="15"/>
      <c r="O367" s="15"/>
      <c r="P367" s="15"/>
      <c r="Q367" s="11"/>
      <c r="R367" s="11"/>
      <c r="S367" s="11"/>
      <c r="T367" s="11"/>
      <c r="U367" s="15"/>
      <c r="V367" s="11"/>
      <c r="W367" s="11"/>
      <c r="X367" s="11"/>
      <c r="Y367" s="11"/>
      <c r="Z367" s="11"/>
    </row>
    <row r="368">
      <c r="A368" s="18"/>
      <c r="B368" s="11"/>
      <c r="C368" s="11"/>
      <c r="D368" s="11"/>
      <c r="E368" s="11"/>
      <c r="F368" s="11"/>
      <c r="G368" s="11"/>
      <c r="H368" s="11"/>
      <c r="I368" s="11"/>
      <c r="J368" s="11"/>
      <c r="K368" s="11"/>
      <c r="L368" s="15"/>
      <c r="M368" s="15"/>
      <c r="N368" s="15"/>
      <c r="O368" s="15"/>
      <c r="P368" s="15"/>
      <c r="Q368" s="11"/>
      <c r="R368" s="11"/>
      <c r="S368" s="11"/>
      <c r="T368" s="11"/>
      <c r="U368" s="15"/>
      <c r="V368" s="11"/>
      <c r="W368" s="11"/>
      <c r="X368" s="11"/>
      <c r="Y368" s="11"/>
      <c r="Z368" s="11"/>
    </row>
    <row r="369">
      <c r="A369" s="18"/>
      <c r="B369" s="11"/>
      <c r="C369" s="11"/>
      <c r="D369" s="11"/>
      <c r="E369" s="11"/>
      <c r="F369" s="11"/>
      <c r="G369" s="11"/>
      <c r="H369" s="11"/>
      <c r="I369" s="11"/>
      <c r="J369" s="11"/>
      <c r="K369" s="11"/>
      <c r="L369" s="15"/>
      <c r="M369" s="15"/>
      <c r="N369" s="15"/>
      <c r="O369" s="15"/>
      <c r="P369" s="15"/>
      <c r="Q369" s="11"/>
      <c r="R369" s="11"/>
      <c r="S369" s="11"/>
      <c r="T369" s="11"/>
      <c r="U369" s="15"/>
      <c r="V369" s="11"/>
      <c r="W369" s="11"/>
      <c r="X369" s="11"/>
      <c r="Y369" s="11"/>
      <c r="Z369" s="11"/>
    </row>
    <row r="370">
      <c r="A370" s="18"/>
      <c r="B370" s="11"/>
      <c r="C370" s="11"/>
      <c r="D370" s="11"/>
      <c r="E370" s="11"/>
      <c r="F370" s="11"/>
      <c r="G370" s="11"/>
      <c r="H370" s="11"/>
      <c r="I370" s="11"/>
      <c r="J370" s="11"/>
      <c r="K370" s="11"/>
      <c r="L370" s="15"/>
      <c r="M370" s="15"/>
      <c r="N370" s="15"/>
      <c r="O370" s="15"/>
      <c r="P370" s="15"/>
      <c r="Q370" s="11"/>
      <c r="R370" s="11"/>
      <c r="S370" s="11"/>
      <c r="T370" s="11"/>
      <c r="U370" s="15"/>
      <c r="V370" s="11"/>
      <c r="W370" s="11"/>
      <c r="X370" s="11"/>
      <c r="Y370" s="11"/>
      <c r="Z370" s="11"/>
    </row>
    <row r="371">
      <c r="A371" s="18"/>
      <c r="B371" s="11"/>
      <c r="C371" s="11"/>
      <c r="D371" s="11"/>
      <c r="E371" s="11"/>
      <c r="F371" s="11"/>
      <c r="G371" s="11"/>
      <c r="H371" s="11"/>
      <c r="I371" s="11"/>
      <c r="J371" s="11"/>
      <c r="K371" s="11"/>
      <c r="L371" s="15"/>
      <c r="M371" s="15"/>
      <c r="N371" s="15"/>
      <c r="O371" s="15"/>
      <c r="P371" s="15"/>
      <c r="Q371" s="11"/>
      <c r="R371" s="11"/>
      <c r="S371" s="11"/>
      <c r="T371" s="11"/>
      <c r="U371" s="15"/>
      <c r="V371" s="11"/>
      <c r="W371" s="11"/>
      <c r="X371" s="11"/>
      <c r="Y371" s="11"/>
      <c r="Z371" s="11"/>
    </row>
    <row r="372">
      <c r="A372" s="18"/>
      <c r="B372" s="11"/>
      <c r="C372" s="11"/>
      <c r="D372" s="11"/>
      <c r="E372" s="11"/>
      <c r="F372" s="11"/>
      <c r="G372" s="11"/>
      <c r="H372" s="11"/>
      <c r="I372" s="11"/>
      <c r="J372" s="11"/>
      <c r="K372" s="11"/>
      <c r="L372" s="15"/>
      <c r="M372" s="15"/>
      <c r="N372" s="15"/>
      <c r="O372" s="15"/>
      <c r="P372" s="15"/>
      <c r="Q372" s="11"/>
      <c r="R372" s="11"/>
      <c r="S372" s="11"/>
      <c r="T372" s="11"/>
      <c r="U372" s="15"/>
      <c r="V372" s="11"/>
      <c r="W372" s="11"/>
      <c r="X372" s="11"/>
      <c r="Y372" s="11"/>
      <c r="Z372" s="11"/>
    </row>
    <row r="373">
      <c r="A373" s="18"/>
      <c r="B373" s="11"/>
      <c r="C373" s="11"/>
      <c r="D373" s="11"/>
      <c r="E373" s="11"/>
      <c r="F373" s="11"/>
      <c r="G373" s="11"/>
      <c r="H373" s="11"/>
      <c r="I373" s="11"/>
      <c r="J373" s="11"/>
      <c r="K373" s="11"/>
      <c r="L373" s="15"/>
      <c r="M373" s="15"/>
      <c r="N373" s="15"/>
      <c r="O373" s="15"/>
      <c r="P373" s="15"/>
      <c r="Q373" s="11"/>
      <c r="R373" s="11"/>
      <c r="S373" s="11"/>
      <c r="T373" s="11"/>
      <c r="U373" s="15"/>
      <c r="V373" s="11"/>
      <c r="W373" s="11"/>
      <c r="X373" s="11"/>
      <c r="Y373" s="11"/>
      <c r="Z373" s="11"/>
    </row>
    <row r="374">
      <c r="A374" s="18"/>
      <c r="B374" s="11"/>
      <c r="C374" s="11"/>
      <c r="D374" s="11"/>
      <c r="E374" s="11"/>
      <c r="F374" s="11"/>
      <c r="G374" s="11"/>
      <c r="H374" s="11"/>
      <c r="I374" s="11"/>
      <c r="J374" s="11"/>
      <c r="K374" s="11"/>
      <c r="L374" s="15"/>
      <c r="M374" s="15"/>
      <c r="N374" s="15"/>
      <c r="O374" s="15"/>
      <c r="P374" s="15"/>
      <c r="Q374" s="11"/>
      <c r="R374" s="11"/>
      <c r="S374" s="11"/>
      <c r="T374" s="11"/>
      <c r="U374" s="15"/>
      <c r="V374" s="11"/>
      <c r="W374" s="11"/>
      <c r="X374" s="11"/>
      <c r="Y374" s="11"/>
      <c r="Z374" s="11"/>
    </row>
    <row r="375">
      <c r="A375" s="18"/>
      <c r="B375" s="11"/>
      <c r="C375" s="11"/>
      <c r="D375" s="11"/>
      <c r="E375" s="11"/>
      <c r="F375" s="11"/>
      <c r="G375" s="11"/>
      <c r="H375" s="11"/>
      <c r="I375" s="11"/>
      <c r="J375" s="11"/>
      <c r="K375" s="11"/>
      <c r="L375" s="15"/>
      <c r="M375" s="15"/>
      <c r="N375" s="15"/>
      <c r="O375" s="15"/>
      <c r="P375" s="15"/>
      <c r="Q375" s="11"/>
      <c r="R375" s="11"/>
      <c r="S375" s="11"/>
      <c r="T375" s="11"/>
      <c r="U375" s="15"/>
      <c r="V375" s="11"/>
      <c r="W375" s="11"/>
      <c r="X375" s="11"/>
      <c r="Y375" s="11"/>
      <c r="Z375" s="11"/>
    </row>
    <row r="376">
      <c r="A376" s="18"/>
      <c r="B376" s="11"/>
      <c r="C376" s="11"/>
      <c r="D376" s="11"/>
      <c r="E376" s="11"/>
      <c r="F376" s="11"/>
      <c r="G376" s="11"/>
      <c r="H376" s="11"/>
      <c r="I376" s="11"/>
      <c r="J376" s="11"/>
      <c r="K376" s="11"/>
      <c r="L376" s="15"/>
      <c r="M376" s="15"/>
      <c r="N376" s="15"/>
      <c r="O376" s="15"/>
      <c r="P376" s="15"/>
      <c r="Q376" s="11"/>
      <c r="R376" s="11"/>
      <c r="S376" s="11"/>
      <c r="T376" s="11"/>
      <c r="U376" s="15"/>
      <c r="V376" s="11"/>
      <c r="W376" s="11"/>
      <c r="X376" s="11"/>
      <c r="Y376" s="11"/>
      <c r="Z376" s="11"/>
    </row>
    <row r="377">
      <c r="A377" s="18"/>
      <c r="B377" s="11"/>
      <c r="C377" s="11"/>
      <c r="D377" s="11"/>
      <c r="E377" s="11"/>
      <c r="F377" s="11"/>
      <c r="G377" s="11"/>
      <c r="H377" s="11"/>
      <c r="I377" s="11"/>
      <c r="J377" s="11"/>
      <c r="K377" s="11"/>
      <c r="L377" s="15"/>
      <c r="M377" s="15"/>
      <c r="N377" s="15"/>
      <c r="O377" s="15"/>
      <c r="P377" s="15"/>
      <c r="Q377" s="11"/>
      <c r="R377" s="11"/>
      <c r="S377" s="11"/>
      <c r="T377" s="11"/>
      <c r="U377" s="15"/>
      <c r="V377" s="11"/>
      <c r="W377" s="11"/>
      <c r="X377" s="11"/>
      <c r="Y377" s="11"/>
      <c r="Z377" s="11"/>
    </row>
    <row r="378">
      <c r="A378" s="18"/>
      <c r="B378" s="11"/>
      <c r="C378" s="11"/>
      <c r="D378" s="11"/>
      <c r="E378" s="11"/>
      <c r="F378" s="11"/>
      <c r="G378" s="11"/>
      <c r="H378" s="11"/>
      <c r="I378" s="11"/>
      <c r="J378" s="11"/>
      <c r="K378" s="11"/>
      <c r="L378" s="15"/>
      <c r="M378" s="15"/>
      <c r="N378" s="15"/>
      <c r="O378" s="15"/>
      <c r="P378" s="15"/>
      <c r="Q378" s="11"/>
      <c r="R378" s="11"/>
      <c r="S378" s="11"/>
      <c r="T378" s="11"/>
      <c r="U378" s="15"/>
      <c r="V378" s="11"/>
      <c r="W378" s="11"/>
      <c r="X378" s="11"/>
      <c r="Y378" s="11"/>
      <c r="Z378" s="11"/>
    </row>
    <row r="379">
      <c r="A379" s="18"/>
      <c r="B379" s="11"/>
      <c r="C379" s="11"/>
      <c r="D379" s="11"/>
      <c r="E379" s="11"/>
      <c r="F379" s="11"/>
      <c r="G379" s="11"/>
      <c r="H379" s="11"/>
      <c r="I379" s="11"/>
      <c r="J379" s="11"/>
      <c r="K379" s="11"/>
      <c r="L379" s="15"/>
      <c r="M379" s="15"/>
      <c r="N379" s="15"/>
      <c r="O379" s="15"/>
      <c r="P379" s="15"/>
      <c r="Q379" s="11"/>
      <c r="R379" s="11"/>
      <c r="S379" s="11"/>
      <c r="T379" s="11"/>
      <c r="U379" s="15"/>
      <c r="V379" s="11"/>
      <c r="W379" s="11"/>
      <c r="X379" s="11"/>
      <c r="Y379" s="11"/>
      <c r="Z379" s="11"/>
    </row>
    <row r="380">
      <c r="A380" s="18"/>
      <c r="B380" s="11"/>
      <c r="C380" s="11"/>
      <c r="D380" s="11"/>
      <c r="E380" s="11"/>
      <c r="F380" s="11"/>
      <c r="G380" s="11"/>
      <c r="H380" s="11"/>
      <c r="I380" s="11"/>
      <c r="J380" s="11"/>
      <c r="K380" s="11"/>
      <c r="L380" s="15"/>
      <c r="M380" s="15"/>
      <c r="N380" s="15"/>
      <c r="O380" s="15"/>
      <c r="P380" s="15"/>
      <c r="Q380" s="11"/>
      <c r="R380" s="11"/>
      <c r="S380" s="11"/>
      <c r="T380" s="11"/>
      <c r="U380" s="15"/>
      <c r="V380" s="11"/>
      <c r="W380" s="11"/>
      <c r="X380" s="11"/>
      <c r="Y380" s="11"/>
      <c r="Z380" s="11"/>
    </row>
    <row r="381">
      <c r="A381" s="18"/>
      <c r="B381" s="11"/>
      <c r="C381" s="11"/>
      <c r="D381" s="11"/>
      <c r="E381" s="11"/>
      <c r="F381" s="11"/>
      <c r="G381" s="11"/>
      <c r="H381" s="11"/>
      <c r="I381" s="11"/>
      <c r="J381" s="11"/>
      <c r="K381" s="11"/>
      <c r="L381" s="15"/>
      <c r="M381" s="15"/>
      <c r="N381" s="15"/>
      <c r="O381" s="15"/>
      <c r="P381" s="15"/>
      <c r="Q381" s="11"/>
      <c r="R381" s="11"/>
      <c r="S381" s="11"/>
      <c r="T381" s="11"/>
      <c r="U381" s="15"/>
      <c r="V381" s="11"/>
      <c r="W381" s="11"/>
      <c r="X381" s="11"/>
      <c r="Y381" s="11"/>
      <c r="Z381" s="11"/>
    </row>
    <row r="382">
      <c r="A382" s="18"/>
      <c r="B382" s="11"/>
      <c r="C382" s="11"/>
      <c r="D382" s="11"/>
      <c r="E382" s="11"/>
      <c r="F382" s="11"/>
      <c r="G382" s="11"/>
      <c r="H382" s="11"/>
      <c r="I382" s="11"/>
      <c r="J382" s="11"/>
      <c r="K382" s="11"/>
      <c r="L382" s="15"/>
      <c r="M382" s="15"/>
      <c r="N382" s="15"/>
      <c r="O382" s="15"/>
      <c r="P382" s="15"/>
      <c r="Q382" s="11"/>
      <c r="R382" s="11"/>
      <c r="S382" s="11"/>
      <c r="T382" s="11"/>
      <c r="U382" s="15"/>
      <c r="V382" s="11"/>
      <c r="W382" s="11"/>
      <c r="X382" s="11"/>
      <c r="Y382" s="11"/>
      <c r="Z382" s="11"/>
    </row>
    <row r="383">
      <c r="A383" s="18"/>
      <c r="B383" s="11"/>
      <c r="C383" s="11"/>
      <c r="D383" s="11"/>
      <c r="E383" s="11"/>
      <c r="F383" s="11"/>
      <c r="G383" s="11"/>
      <c r="H383" s="11"/>
      <c r="I383" s="11"/>
      <c r="J383" s="11"/>
      <c r="K383" s="11"/>
      <c r="L383" s="15"/>
      <c r="M383" s="15"/>
      <c r="N383" s="15"/>
      <c r="O383" s="15"/>
      <c r="P383" s="15"/>
      <c r="Q383" s="11"/>
      <c r="R383" s="11"/>
      <c r="S383" s="11"/>
      <c r="T383" s="11"/>
      <c r="U383" s="15"/>
      <c r="V383" s="11"/>
      <c r="W383" s="11"/>
      <c r="X383" s="11"/>
      <c r="Y383" s="11"/>
      <c r="Z383" s="11"/>
    </row>
    <row r="384">
      <c r="A384" s="18"/>
      <c r="B384" s="11"/>
      <c r="C384" s="11"/>
      <c r="D384" s="11"/>
      <c r="E384" s="11"/>
      <c r="F384" s="11"/>
      <c r="G384" s="11"/>
      <c r="H384" s="11"/>
      <c r="I384" s="11"/>
      <c r="J384" s="11"/>
      <c r="K384" s="11"/>
      <c r="L384" s="15"/>
      <c r="M384" s="15"/>
      <c r="N384" s="15"/>
      <c r="O384" s="15"/>
      <c r="P384" s="15"/>
      <c r="Q384" s="11"/>
      <c r="R384" s="11"/>
      <c r="S384" s="11"/>
      <c r="T384" s="11"/>
      <c r="U384" s="15"/>
      <c r="V384" s="11"/>
      <c r="W384" s="11"/>
      <c r="X384" s="11"/>
      <c r="Y384" s="11"/>
      <c r="Z384" s="11"/>
    </row>
    <row r="385">
      <c r="A385" s="18"/>
      <c r="B385" s="11"/>
      <c r="C385" s="11"/>
      <c r="D385" s="11"/>
      <c r="E385" s="11"/>
      <c r="F385" s="11"/>
      <c r="G385" s="11"/>
      <c r="H385" s="11"/>
      <c r="I385" s="11"/>
      <c r="J385" s="11"/>
      <c r="K385" s="11"/>
      <c r="L385" s="15"/>
      <c r="M385" s="15"/>
      <c r="N385" s="15"/>
      <c r="O385" s="15"/>
      <c r="P385" s="15"/>
      <c r="Q385" s="11"/>
      <c r="R385" s="11"/>
      <c r="S385" s="11"/>
      <c r="T385" s="11"/>
      <c r="U385" s="15"/>
      <c r="V385" s="11"/>
      <c r="W385" s="11"/>
      <c r="X385" s="11"/>
      <c r="Y385" s="11"/>
      <c r="Z385" s="11"/>
    </row>
    <row r="386">
      <c r="A386" s="18"/>
      <c r="B386" s="11"/>
      <c r="C386" s="11"/>
      <c r="D386" s="11"/>
      <c r="E386" s="11"/>
      <c r="F386" s="11"/>
      <c r="G386" s="11"/>
      <c r="H386" s="11"/>
      <c r="I386" s="11"/>
      <c r="J386" s="11"/>
      <c r="K386" s="11"/>
      <c r="L386" s="15"/>
      <c r="M386" s="15"/>
      <c r="N386" s="15"/>
      <c r="O386" s="15"/>
      <c r="P386" s="15"/>
      <c r="Q386" s="11"/>
      <c r="R386" s="11"/>
      <c r="S386" s="11"/>
      <c r="T386" s="11"/>
      <c r="U386" s="15"/>
      <c r="V386" s="11"/>
      <c r="W386" s="11"/>
      <c r="X386" s="11"/>
      <c r="Y386" s="11"/>
      <c r="Z386" s="11"/>
    </row>
    <row r="387">
      <c r="A387" s="18"/>
      <c r="B387" s="11"/>
      <c r="C387" s="11"/>
      <c r="D387" s="11"/>
      <c r="E387" s="11"/>
      <c r="F387" s="11"/>
      <c r="G387" s="11"/>
      <c r="H387" s="11"/>
      <c r="I387" s="11"/>
      <c r="J387" s="11"/>
      <c r="K387" s="11"/>
      <c r="L387" s="15"/>
      <c r="M387" s="15"/>
      <c r="N387" s="15"/>
      <c r="O387" s="15"/>
      <c r="P387" s="15"/>
      <c r="Q387" s="11"/>
      <c r="R387" s="11"/>
      <c r="S387" s="11"/>
      <c r="T387" s="11"/>
      <c r="U387" s="15"/>
      <c r="V387" s="11"/>
      <c r="W387" s="11"/>
      <c r="X387" s="11"/>
      <c r="Y387" s="11"/>
      <c r="Z387" s="11"/>
    </row>
    <row r="388">
      <c r="A388" s="18"/>
      <c r="B388" s="11"/>
      <c r="C388" s="11"/>
      <c r="D388" s="11"/>
      <c r="E388" s="11"/>
      <c r="F388" s="11"/>
      <c r="G388" s="11"/>
      <c r="H388" s="11"/>
      <c r="I388" s="11"/>
      <c r="J388" s="11"/>
      <c r="K388" s="11"/>
      <c r="L388" s="15"/>
      <c r="M388" s="15"/>
      <c r="N388" s="15"/>
      <c r="O388" s="15"/>
      <c r="P388" s="15"/>
      <c r="Q388" s="11"/>
      <c r="R388" s="11"/>
      <c r="S388" s="11"/>
      <c r="T388" s="11"/>
      <c r="U388" s="15"/>
      <c r="V388" s="11"/>
      <c r="W388" s="11"/>
      <c r="X388" s="11"/>
      <c r="Y388" s="11"/>
      <c r="Z388" s="11"/>
    </row>
    <row r="389">
      <c r="A389" s="18"/>
      <c r="B389" s="11"/>
      <c r="C389" s="11"/>
      <c r="D389" s="11"/>
      <c r="E389" s="11"/>
      <c r="F389" s="11"/>
      <c r="G389" s="11"/>
      <c r="H389" s="11"/>
      <c r="I389" s="11"/>
      <c r="J389" s="11"/>
      <c r="K389" s="11"/>
      <c r="L389" s="15"/>
      <c r="M389" s="15"/>
      <c r="N389" s="15"/>
      <c r="O389" s="15"/>
      <c r="P389" s="15"/>
      <c r="Q389" s="11"/>
      <c r="R389" s="11"/>
      <c r="S389" s="11"/>
      <c r="T389" s="11"/>
      <c r="U389" s="15"/>
      <c r="V389" s="11"/>
      <c r="W389" s="11"/>
      <c r="X389" s="11"/>
      <c r="Y389" s="11"/>
      <c r="Z389" s="11"/>
    </row>
    <row r="390">
      <c r="A390" s="18"/>
      <c r="B390" s="11"/>
      <c r="C390" s="11"/>
      <c r="D390" s="11"/>
      <c r="E390" s="11"/>
      <c r="F390" s="11"/>
      <c r="G390" s="11"/>
      <c r="H390" s="11"/>
      <c r="I390" s="11"/>
      <c r="J390" s="11"/>
      <c r="K390" s="11"/>
      <c r="L390" s="15"/>
      <c r="M390" s="15"/>
      <c r="N390" s="15"/>
      <c r="O390" s="15"/>
      <c r="P390" s="15"/>
      <c r="Q390" s="11"/>
      <c r="R390" s="11"/>
      <c r="S390" s="11"/>
      <c r="T390" s="11"/>
      <c r="U390" s="15"/>
      <c r="V390" s="11"/>
      <c r="W390" s="11"/>
      <c r="X390" s="11"/>
      <c r="Y390" s="11"/>
      <c r="Z390" s="11"/>
    </row>
    <row r="391">
      <c r="A391" s="18"/>
      <c r="B391" s="11"/>
      <c r="C391" s="11"/>
      <c r="D391" s="11"/>
      <c r="E391" s="11"/>
      <c r="F391" s="11"/>
      <c r="G391" s="11"/>
      <c r="H391" s="11"/>
      <c r="I391" s="11"/>
      <c r="J391" s="11"/>
      <c r="K391" s="11"/>
      <c r="L391" s="15"/>
      <c r="M391" s="15"/>
      <c r="N391" s="15"/>
      <c r="O391" s="15"/>
      <c r="P391" s="15"/>
      <c r="Q391" s="11"/>
      <c r="R391" s="11"/>
      <c r="S391" s="11"/>
      <c r="T391" s="11"/>
      <c r="U391" s="15"/>
      <c r="V391" s="11"/>
      <c r="W391" s="11"/>
      <c r="X391" s="11"/>
      <c r="Y391" s="11"/>
      <c r="Z391" s="11"/>
    </row>
    <row r="392">
      <c r="A392" s="18"/>
      <c r="B392" s="11"/>
      <c r="C392" s="11"/>
      <c r="D392" s="11"/>
      <c r="E392" s="11"/>
      <c r="F392" s="11"/>
      <c r="G392" s="11"/>
      <c r="H392" s="11"/>
      <c r="I392" s="11"/>
      <c r="J392" s="11"/>
      <c r="K392" s="11"/>
      <c r="L392" s="15"/>
      <c r="M392" s="15"/>
      <c r="N392" s="15"/>
      <c r="O392" s="15"/>
      <c r="P392" s="15"/>
      <c r="Q392" s="11"/>
      <c r="R392" s="11"/>
      <c r="S392" s="11"/>
      <c r="T392" s="11"/>
      <c r="U392" s="15"/>
      <c r="V392" s="11"/>
      <c r="W392" s="11"/>
      <c r="X392" s="11"/>
      <c r="Y392" s="11"/>
      <c r="Z392" s="11"/>
    </row>
    <row r="393">
      <c r="A393" s="18"/>
      <c r="B393" s="11"/>
      <c r="C393" s="11"/>
      <c r="D393" s="11"/>
      <c r="E393" s="11"/>
      <c r="F393" s="11"/>
      <c r="G393" s="11"/>
      <c r="H393" s="11"/>
      <c r="I393" s="11"/>
      <c r="J393" s="11"/>
      <c r="K393" s="11"/>
      <c r="L393" s="15"/>
      <c r="M393" s="15"/>
      <c r="N393" s="15"/>
      <c r="O393" s="15"/>
      <c r="P393" s="15"/>
      <c r="Q393" s="11"/>
      <c r="R393" s="11"/>
      <c r="S393" s="11"/>
      <c r="T393" s="11"/>
      <c r="U393" s="15"/>
      <c r="V393" s="11"/>
      <c r="W393" s="11"/>
      <c r="X393" s="11"/>
      <c r="Y393" s="11"/>
      <c r="Z393" s="11"/>
    </row>
    <row r="394">
      <c r="A394" s="18"/>
      <c r="B394" s="11"/>
      <c r="C394" s="11"/>
      <c r="D394" s="11"/>
      <c r="E394" s="11"/>
      <c r="F394" s="11"/>
      <c r="G394" s="11"/>
      <c r="H394" s="11"/>
      <c r="I394" s="11"/>
      <c r="J394" s="11"/>
      <c r="K394" s="11"/>
      <c r="L394" s="15"/>
      <c r="M394" s="15"/>
      <c r="N394" s="15"/>
      <c r="O394" s="15"/>
      <c r="P394" s="15"/>
      <c r="Q394" s="11"/>
      <c r="R394" s="11"/>
      <c r="S394" s="11"/>
      <c r="T394" s="11"/>
      <c r="U394" s="15"/>
      <c r="V394" s="11"/>
      <c r="W394" s="11"/>
      <c r="X394" s="11"/>
      <c r="Y394" s="11"/>
      <c r="Z394" s="11"/>
    </row>
    <row r="395">
      <c r="A395" s="18"/>
      <c r="B395" s="11"/>
      <c r="C395" s="11"/>
      <c r="D395" s="11"/>
      <c r="E395" s="11"/>
      <c r="F395" s="11"/>
      <c r="G395" s="11"/>
      <c r="H395" s="11"/>
      <c r="I395" s="11"/>
      <c r="J395" s="11"/>
      <c r="K395" s="11"/>
      <c r="L395" s="15"/>
      <c r="M395" s="15"/>
      <c r="N395" s="15"/>
      <c r="O395" s="15"/>
      <c r="P395" s="15"/>
      <c r="Q395" s="11"/>
      <c r="R395" s="11"/>
      <c r="S395" s="11"/>
      <c r="T395" s="11"/>
      <c r="U395" s="15"/>
      <c r="V395" s="11"/>
      <c r="W395" s="11"/>
      <c r="X395" s="11"/>
      <c r="Y395" s="11"/>
      <c r="Z395" s="11"/>
    </row>
    <row r="396">
      <c r="A396" s="18"/>
      <c r="B396" s="11"/>
      <c r="C396" s="11"/>
      <c r="D396" s="11"/>
      <c r="E396" s="11"/>
      <c r="F396" s="11"/>
      <c r="G396" s="11"/>
      <c r="H396" s="11"/>
      <c r="I396" s="11"/>
      <c r="J396" s="11"/>
      <c r="K396" s="11"/>
      <c r="L396" s="15"/>
      <c r="M396" s="15"/>
      <c r="N396" s="15"/>
      <c r="O396" s="15"/>
      <c r="P396" s="15"/>
      <c r="Q396" s="11"/>
      <c r="R396" s="11"/>
      <c r="S396" s="11"/>
      <c r="T396" s="11"/>
      <c r="U396" s="15"/>
      <c r="V396" s="11"/>
      <c r="W396" s="11"/>
      <c r="X396" s="11"/>
      <c r="Y396" s="11"/>
      <c r="Z396" s="11"/>
    </row>
    <row r="397">
      <c r="A397" s="18"/>
      <c r="B397" s="11"/>
      <c r="C397" s="11"/>
      <c r="D397" s="11"/>
      <c r="E397" s="11"/>
      <c r="F397" s="11"/>
      <c r="G397" s="11"/>
      <c r="H397" s="11"/>
      <c r="I397" s="11"/>
      <c r="J397" s="11"/>
      <c r="K397" s="11"/>
      <c r="L397" s="15"/>
      <c r="M397" s="15"/>
      <c r="N397" s="15"/>
      <c r="O397" s="15"/>
      <c r="P397" s="15"/>
      <c r="Q397" s="11"/>
      <c r="R397" s="11"/>
      <c r="S397" s="11"/>
      <c r="T397" s="11"/>
      <c r="U397" s="15"/>
      <c r="V397" s="11"/>
      <c r="W397" s="11"/>
      <c r="X397" s="11"/>
      <c r="Y397" s="11"/>
      <c r="Z397" s="11"/>
    </row>
    <row r="398">
      <c r="A398" s="18"/>
      <c r="B398" s="11"/>
      <c r="C398" s="11"/>
      <c r="D398" s="11"/>
      <c r="E398" s="11"/>
      <c r="F398" s="11"/>
      <c r="G398" s="11"/>
      <c r="H398" s="11"/>
      <c r="I398" s="11"/>
      <c r="J398" s="11"/>
      <c r="K398" s="11"/>
      <c r="L398" s="15"/>
      <c r="M398" s="15"/>
      <c r="N398" s="15"/>
      <c r="O398" s="15"/>
      <c r="P398" s="15"/>
      <c r="Q398" s="11"/>
      <c r="R398" s="11"/>
      <c r="S398" s="11"/>
      <c r="T398" s="11"/>
      <c r="U398" s="15"/>
      <c r="V398" s="11"/>
      <c r="W398" s="11"/>
      <c r="X398" s="11"/>
      <c r="Y398" s="11"/>
      <c r="Z398" s="11"/>
    </row>
    <row r="399">
      <c r="A399" s="18"/>
      <c r="B399" s="11"/>
      <c r="C399" s="11"/>
      <c r="D399" s="11"/>
      <c r="E399" s="11"/>
      <c r="F399" s="11"/>
      <c r="G399" s="11"/>
      <c r="H399" s="11"/>
      <c r="I399" s="11"/>
      <c r="J399" s="11"/>
      <c r="K399" s="11"/>
      <c r="L399" s="15"/>
      <c r="M399" s="15"/>
      <c r="N399" s="15"/>
      <c r="O399" s="15"/>
      <c r="P399" s="15"/>
      <c r="Q399" s="11"/>
      <c r="R399" s="11"/>
      <c r="S399" s="11"/>
      <c r="T399" s="11"/>
      <c r="U399" s="15"/>
      <c r="V399" s="11"/>
      <c r="W399" s="11"/>
      <c r="X399" s="11"/>
      <c r="Y399" s="11"/>
      <c r="Z399" s="11"/>
    </row>
    <row r="400">
      <c r="A400" s="18"/>
      <c r="B400" s="11"/>
      <c r="C400" s="11"/>
      <c r="D400" s="11"/>
      <c r="E400" s="11"/>
      <c r="F400" s="11"/>
      <c r="G400" s="11"/>
      <c r="H400" s="11"/>
      <c r="I400" s="11"/>
      <c r="J400" s="11"/>
      <c r="K400" s="11"/>
      <c r="L400" s="15"/>
      <c r="M400" s="15"/>
      <c r="N400" s="15"/>
      <c r="O400" s="15"/>
      <c r="P400" s="15"/>
      <c r="Q400" s="11"/>
      <c r="R400" s="11"/>
      <c r="S400" s="11"/>
      <c r="T400" s="11"/>
      <c r="U400" s="15"/>
      <c r="V400" s="11"/>
      <c r="W400" s="11"/>
      <c r="X400" s="11"/>
      <c r="Y400" s="11"/>
      <c r="Z400" s="11"/>
    </row>
    <row r="401">
      <c r="A401" s="18"/>
      <c r="B401" s="11"/>
      <c r="C401" s="11"/>
      <c r="D401" s="11"/>
      <c r="E401" s="11"/>
      <c r="F401" s="11"/>
      <c r="G401" s="11"/>
      <c r="H401" s="11"/>
      <c r="I401" s="11"/>
      <c r="J401" s="11"/>
      <c r="K401" s="11"/>
      <c r="L401" s="15"/>
      <c r="M401" s="15"/>
      <c r="N401" s="15"/>
      <c r="O401" s="15"/>
      <c r="P401" s="15"/>
      <c r="Q401" s="11"/>
      <c r="R401" s="11"/>
      <c r="S401" s="11"/>
      <c r="T401" s="11"/>
      <c r="U401" s="15"/>
      <c r="V401" s="11"/>
      <c r="W401" s="11"/>
      <c r="X401" s="11"/>
      <c r="Y401" s="11"/>
      <c r="Z401" s="11"/>
    </row>
    <row r="402">
      <c r="A402" s="18"/>
      <c r="B402" s="11"/>
      <c r="C402" s="11"/>
      <c r="D402" s="11"/>
      <c r="E402" s="11"/>
      <c r="F402" s="11"/>
      <c r="G402" s="11"/>
      <c r="H402" s="11"/>
      <c r="I402" s="11"/>
      <c r="J402" s="11"/>
      <c r="K402" s="11"/>
      <c r="L402" s="15"/>
      <c r="M402" s="15"/>
      <c r="N402" s="15"/>
      <c r="O402" s="15"/>
      <c r="P402" s="15"/>
      <c r="Q402" s="11"/>
      <c r="R402" s="11"/>
      <c r="S402" s="11"/>
      <c r="T402" s="11"/>
      <c r="U402" s="15"/>
      <c r="V402" s="11"/>
      <c r="W402" s="11"/>
      <c r="X402" s="11"/>
      <c r="Y402" s="11"/>
      <c r="Z402" s="11"/>
    </row>
    <row r="403">
      <c r="A403" s="18"/>
      <c r="B403" s="11"/>
      <c r="C403" s="11"/>
      <c r="D403" s="11"/>
      <c r="E403" s="11"/>
      <c r="F403" s="11"/>
      <c r="G403" s="11"/>
      <c r="H403" s="11"/>
      <c r="I403" s="11"/>
      <c r="J403" s="11"/>
      <c r="K403" s="11"/>
      <c r="L403" s="15"/>
      <c r="M403" s="15"/>
      <c r="N403" s="15"/>
      <c r="O403" s="15"/>
      <c r="P403" s="15"/>
      <c r="Q403" s="11"/>
      <c r="R403" s="11"/>
      <c r="S403" s="11"/>
      <c r="T403" s="11"/>
      <c r="U403" s="15"/>
      <c r="V403" s="11"/>
      <c r="W403" s="11"/>
      <c r="X403" s="11"/>
      <c r="Y403" s="11"/>
      <c r="Z403" s="11"/>
    </row>
    <row r="404">
      <c r="A404" s="18"/>
      <c r="B404" s="11"/>
      <c r="C404" s="11"/>
      <c r="D404" s="11"/>
      <c r="E404" s="11"/>
      <c r="F404" s="11"/>
      <c r="G404" s="11"/>
      <c r="H404" s="11"/>
      <c r="I404" s="11"/>
      <c r="J404" s="11"/>
      <c r="K404" s="11"/>
      <c r="L404" s="15"/>
      <c r="M404" s="15"/>
      <c r="N404" s="15"/>
      <c r="O404" s="15"/>
      <c r="P404" s="15"/>
      <c r="Q404" s="11"/>
      <c r="R404" s="11"/>
      <c r="S404" s="11"/>
      <c r="T404" s="11"/>
      <c r="U404" s="15"/>
      <c r="V404" s="11"/>
      <c r="W404" s="11"/>
      <c r="X404" s="11"/>
      <c r="Y404" s="11"/>
      <c r="Z404" s="11"/>
    </row>
    <row r="405">
      <c r="A405" s="18"/>
      <c r="B405" s="11"/>
      <c r="C405" s="11"/>
      <c r="D405" s="11"/>
      <c r="E405" s="11"/>
      <c r="F405" s="11"/>
      <c r="G405" s="11"/>
      <c r="H405" s="11"/>
      <c r="I405" s="11"/>
      <c r="J405" s="11"/>
      <c r="K405" s="11"/>
      <c r="L405" s="15"/>
      <c r="M405" s="15"/>
      <c r="N405" s="15"/>
      <c r="O405" s="15"/>
      <c r="P405" s="15"/>
      <c r="Q405" s="11"/>
      <c r="R405" s="11"/>
      <c r="S405" s="11"/>
      <c r="T405" s="11"/>
      <c r="U405" s="15"/>
      <c r="V405" s="11"/>
      <c r="W405" s="11"/>
      <c r="X405" s="11"/>
      <c r="Y405" s="11"/>
      <c r="Z405" s="11"/>
    </row>
    <row r="406">
      <c r="A406" s="18"/>
      <c r="B406" s="11"/>
      <c r="C406" s="11"/>
      <c r="D406" s="11"/>
      <c r="E406" s="11"/>
      <c r="F406" s="11"/>
      <c r="G406" s="11"/>
      <c r="H406" s="11"/>
      <c r="I406" s="11"/>
      <c r="J406" s="11"/>
      <c r="K406" s="11"/>
      <c r="L406" s="15"/>
      <c r="M406" s="15"/>
      <c r="N406" s="15"/>
      <c r="O406" s="15"/>
      <c r="P406" s="15"/>
      <c r="Q406" s="11"/>
      <c r="R406" s="11"/>
      <c r="S406" s="11"/>
      <c r="T406" s="11"/>
      <c r="U406" s="15"/>
      <c r="V406" s="11"/>
      <c r="W406" s="11"/>
      <c r="X406" s="11"/>
      <c r="Y406" s="11"/>
      <c r="Z406" s="11"/>
    </row>
    <row r="407">
      <c r="A407" s="18"/>
      <c r="B407" s="11"/>
      <c r="C407" s="11"/>
      <c r="D407" s="11"/>
      <c r="E407" s="11"/>
      <c r="F407" s="11"/>
      <c r="G407" s="11"/>
      <c r="H407" s="11"/>
      <c r="I407" s="11"/>
      <c r="J407" s="11"/>
      <c r="K407" s="11"/>
      <c r="L407" s="15"/>
      <c r="M407" s="15"/>
      <c r="N407" s="15"/>
      <c r="O407" s="15"/>
      <c r="P407" s="15"/>
      <c r="Q407" s="11"/>
      <c r="R407" s="11"/>
      <c r="S407" s="11"/>
      <c r="T407" s="11"/>
      <c r="U407" s="15"/>
      <c r="V407" s="11"/>
      <c r="W407" s="11"/>
      <c r="X407" s="11"/>
      <c r="Y407" s="11"/>
      <c r="Z407" s="11"/>
    </row>
    <row r="408">
      <c r="A408" s="18"/>
      <c r="B408" s="11"/>
      <c r="C408" s="11"/>
      <c r="D408" s="11"/>
      <c r="E408" s="11"/>
      <c r="F408" s="11"/>
      <c r="G408" s="11"/>
      <c r="H408" s="11"/>
      <c r="I408" s="11"/>
      <c r="J408" s="11"/>
      <c r="K408" s="11"/>
      <c r="L408" s="15"/>
      <c r="M408" s="15"/>
      <c r="N408" s="15"/>
      <c r="O408" s="15"/>
      <c r="P408" s="15"/>
      <c r="Q408" s="11"/>
      <c r="R408" s="11"/>
      <c r="S408" s="11"/>
      <c r="T408" s="11"/>
      <c r="U408" s="15"/>
      <c r="V408" s="11"/>
      <c r="W408" s="11"/>
      <c r="X408" s="11"/>
      <c r="Y408" s="11"/>
      <c r="Z408" s="11"/>
    </row>
    <row r="409">
      <c r="A409" s="18"/>
      <c r="B409" s="11"/>
      <c r="C409" s="11"/>
      <c r="D409" s="11"/>
      <c r="E409" s="11"/>
      <c r="F409" s="11"/>
      <c r="G409" s="11"/>
      <c r="H409" s="11"/>
      <c r="I409" s="11"/>
      <c r="J409" s="11"/>
      <c r="K409" s="11"/>
      <c r="L409" s="15"/>
      <c r="M409" s="15"/>
      <c r="N409" s="15"/>
      <c r="O409" s="15"/>
      <c r="P409" s="15"/>
      <c r="Q409" s="11"/>
      <c r="R409" s="11"/>
      <c r="S409" s="11"/>
      <c r="T409" s="11"/>
      <c r="U409" s="15"/>
      <c r="V409" s="11"/>
      <c r="W409" s="11"/>
      <c r="X409" s="11"/>
      <c r="Y409" s="11"/>
      <c r="Z409" s="11"/>
    </row>
    <row r="410">
      <c r="A410" s="18"/>
      <c r="B410" s="11"/>
      <c r="C410" s="11"/>
      <c r="D410" s="11"/>
      <c r="E410" s="11"/>
      <c r="F410" s="11"/>
      <c r="G410" s="11"/>
      <c r="H410" s="11"/>
      <c r="I410" s="11"/>
      <c r="J410" s="11"/>
      <c r="K410" s="11"/>
      <c r="L410" s="15"/>
      <c r="M410" s="15"/>
      <c r="N410" s="15"/>
      <c r="O410" s="15"/>
      <c r="P410" s="15"/>
      <c r="Q410" s="11"/>
      <c r="R410" s="11"/>
      <c r="S410" s="11"/>
      <c r="T410" s="11"/>
      <c r="U410" s="15"/>
      <c r="V410" s="11"/>
      <c r="W410" s="11"/>
      <c r="X410" s="11"/>
      <c r="Y410" s="11"/>
      <c r="Z410" s="11"/>
    </row>
    <row r="411">
      <c r="A411" s="18"/>
      <c r="B411" s="11"/>
      <c r="C411" s="11"/>
      <c r="D411" s="11"/>
      <c r="E411" s="11"/>
      <c r="F411" s="11"/>
      <c r="G411" s="11"/>
      <c r="H411" s="11"/>
      <c r="I411" s="11"/>
      <c r="J411" s="11"/>
      <c r="K411" s="11"/>
      <c r="L411" s="15"/>
      <c r="M411" s="15"/>
      <c r="N411" s="15"/>
      <c r="O411" s="15"/>
      <c r="P411" s="15"/>
      <c r="Q411" s="11"/>
      <c r="R411" s="11"/>
      <c r="S411" s="11"/>
      <c r="T411" s="11"/>
      <c r="U411" s="15"/>
      <c r="V411" s="11"/>
      <c r="W411" s="11"/>
      <c r="X411" s="11"/>
      <c r="Y411" s="11"/>
      <c r="Z411" s="11"/>
    </row>
    <row r="412">
      <c r="A412" s="18"/>
      <c r="B412" s="11"/>
      <c r="C412" s="11"/>
      <c r="D412" s="11"/>
      <c r="E412" s="11"/>
      <c r="F412" s="11"/>
      <c r="G412" s="11"/>
      <c r="H412" s="11"/>
      <c r="I412" s="11"/>
      <c r="J412" s="11"/>
      <c r="K412" s="11"/>
      <c r="L412" s="15"/>
      <c r="M412" s="15"/>
      <c r="N412" s="15"/>
      <c r="O412" s="15"/>
      <c r="P412" s="15"/>
      <c r="Q412" s="11"/>
      <c r="R412" s="11"/>
      <c r="S412" s="11"/>
      <c r="T412" s="11"/>
      <c r="U412" s="15"/>
      <c r="V412" s="11"/>
      <c r="W412" s="11"/>
      <c r="X412" s="11"/>
      <c r="Y412" s="11"/>
      <c r="Z412" s="11"/>
    </row>
    <row r="413">
      <c r="A413" s="18"/>
      <c r="B413" s="11"/>
      <c r="C413" s="11"/>
      <c r="D413" s="11"/>
      <c r="E413" s="11"/>
      <c r="F413" s="11"/>
      <c r="G413" s="11"/>
      <c r="H413" s="11"/>
      <c r="I413" s="11"/>
      <c r="J413" s="11"/>
      <c r="K413" s="11"/>
      <c r="L413" s="15"/>
      <c r="M413" s="15"/>
      <c r="N413" s="15"/>
      <c r="O413" s="15"/>
      <c r="P413" s="15"/>
      <c r="Q413" s="11"/>
      <c r="R413" s="11"/>
      <c r="S413" s="11"/>
      <c r="T413" s="11"/>
      <c r="U413" s="15"/>
      <c r="V413" s="11"/>
      <c r="W413" s="11"/>
      <c r="X413" s="11"/>
      <c r="Y413" s="11"/>
      <c r="Z413" s="11"/>
    </row>
    <row r="414">
      <c r="A414" s="18"/>
      <c r="B414" s="11"/>
      <c r="C414" s="11"/>
      <c r="D414" s="11"/>
      <c r="E414" s="11"/>
      <c r="F414" s="11"/>
      <c r="G414" s="11"/>
      <c r="H414" s="11"/>
      <c r="I414" s="11"/>
      <c r="J414" s="11"/>
      <c r="K414" s="11"/>
      <c r="L414" s="15"/>
      <c r="M414" s="15"/>
      <c r="N414" s="15"/>
      <c r="O414" s="15"/>
      <c r="P414" s="15"/>
      <c r="Q414" s="11"/>
      <c r="R414" s="11"/>
      <c r="S414" s="11"/>
      <c r="T414" s="11"/>
      <c r="U414" s="15"/>
      <c r="V414" s="11"/>
      <c r="W414" s="11"/>
      <c r="X414" s="11"/>
      <c r="Y414" s="11"/>
      <c r="Z414" s="11"/>
    </row>
    <row r="415">
      <c r="A415" s="18"/>
      <c r="B415" s="11"/>
      <c r="C415" s="11"/>
      <c r="D415" s="11"/>
      <c r="E415" s="11"/>
      <c r="F415" s="11"/>
      <c r="G415" s="11"/>
      <c r="H415" s="11"/>
      <c r="I415" s="11"/>
      <c r="J415" s="11"/>
      <c r="K415" s="11"/>
      <c r="L415" s="15"/>
      <c r="M415" s="15"/>
      <c r="N415" s="15"/>
      <c r="O415" s="15"/>
      <c r="P415" s="15"/>
      <c r="Q415" s="11"/>
      <c r="R415" s="11"/>
      <c r="S415" s="11"/>
      <c r="T415" s="11"/>
      <c r="U415" s="15"/>
      <c r="V415" s="11"/>
      <c r="W415" s="11"/>
      <c r="X415" s="11"/>
      <c r="Y415" s="11"/>
      <c r="Z415" s="11"/>
    </row>
    <row r="416">
      <c r="A416" s="18"/>
      <c r="B416" s="11"/>
      <c r="C416" s="11"/>
      <c r="D416" s="11"/>
      <c r="E416" s="11"/>
      <c r="F416" s="11"/>
      <c r="G416" s="11"/>
      <c r="H416" s="11"/>
      <c r="I416" s="11"/>
      <c r="J416" s="11"/>
      <c r="K416" s="11"/>
      <c r="L416" s="15"/>
      <c r="M416" s="15"/>
      <c r="N416" s="15"/>
      <c r="O416" s="15"/>
      <c r="P416" s="15"/>
      <c r="Q416" s="11"/>
      <c r="R416" s="11"/>
      <c r="S416" s="11"/>
      <c r="T416" s="11"/>
      <c r="U416" s="15"/>
      <c r="V416" s="11"/>
      <c r="W416" s="11"/>
      <c r="X416" s="11"/>
      <c r="Y416" s="11"/>
      <c r="Z416" s="11"/>
    </row>
    <row r="417">
      <c r="A417" s="18"/>
      <c r="B417" s="11"/>
      <c r="C417" s="11"/>
      <c r="D417" s="11"/>
      <c r="E417" s="11"/>
      <c r="F417" s="11"/>
      <c r="G417" s="11"/>
      <c r="H417" s="11"/>
      <c r="I417" s="11"/>
      <c r="J417" s="11"/>
      <c r="K417" s="11"/>
      <c r="L417" s="15"/>
      <c r="M417" s="15"/>
      <c r="N417" s="15"/>
      <c r="O417" s="15"/>
      <c r="P417" s="15"/>
      <c r="Q417" s="11"/>
      <c r="R417" s="11"/>
      <c r="S417" s="11"/>
      <c r="T417" s="11"/>
      <c r="U417" s="15"/>
      <c r="V417" s="11"/>
      <c r="W417" s="11"/>
      <c r="X417" s="11"/>
      <c r="Y417" s="11"/>
      <c r="Z417" s="11"/>
    </row>
    <row r="418">
      <c r="A418" s="18"/>
      <c r="B418" s="11"/>
      <c r="C418" s="11"/>
      <c r="D418" s="11"/>
      <c r="E418" s="11"/>
      <c r="F418" s="11"/>
      <c r="G418" s="11"/>
      <c r="H418" s="11"/>
      <c r="I418" s="11"/>
      <c r="J418" s="11"/>
      <c r="K418" s="11"/>
      <c r="L418" s="15"/>
      <c r="M418" s="15"/>
      <c r="N418" s="15"/>
      <c r="O418" s="15"/>
      <c r="P418" s="15"/>
      <c r="Q418" s="11"/>
      <c r="R418" s="11"/>
      <c r="S418" s="11"/>
      <c r="T418" s="11"/>
      <c r="U418" s="15"/>
      <c r="V418" s="11"/>
      <c r="W418" s="11"/>
      <c r="X418" s="11"/>
      <c r="Y418" s="11"/>
      <c r="Z418" s="11"/>
    </row>
    <row r="419">
      <c r="A419" s="18"/>
      <c r="B419" s="11"/>
      <c r="C419" s="11"/>
      <c r="D419" s="11"/>
      <c r="E419" s="11"/>
      <c r="F419" s="11"/>
      <c r="G419" s="11"/>
      <c r="H419" s="11"/>
      <c r="I419" s="11"/>
      <c r="J419" s="11"/>
      <c r="K419" s="11"/>
      <c r="L419" s="15"/>
      <c r="M419" s="15"/>
      <c r="N419" s="15"/>
      <c r="O419" s="15"/>
      <c r="P419" s="15"/>
      <c r="Q419" s="11"/>
      <c r="R419" s="11"/>
      <c r="S419" s="11"/>
      <c r="T419" s="11"/>
      <c r="U419" s="15"/>
      <c r="V419" s="11"/>
      <c r="W419" s="11"/>
      <c r="X419" s="11"/>
      <c r="Y419" s="11"/>
      <c r="Z419" s="11"/>
    </row>
    <row r="420">
      <c r="A420" s="18"/>
      <c r="B420" s="11"/>
      <c r="C420" s="11"/>
      <c r="D420" s="11"/>
      <c r="E420" s="11"/>
      <c r="F420" s="11"/>
      <c r="G420" s="11"/>
      <c r="H420" s="11"/>
      <c r="I420" s="11"/>
      <c r="J420" s="11"/>
      <c r="K420" s="11"/>
      <c r="L420" s="15"/>
      <c r="M420" s="15"/>
      <c r="N420" s="15"/>
      <c r="O420" s="15"/>
      <c r="P420" s="15"/>
      <c r="Q420" s="11"/>
      <c r="R420" s="11"/>
      <c r="S420" s="11"/>
      <c r="T420" s="11"/>
      <c r="U420" s="15"/>
      <c r="V420" s="11"/>
      <c r="W420" s="11"/>
      <c r="X420" s="11"/>
      <c r="Y420" s="11"/>
      <c r="Z420" s="11"/>
    </row>
    <row r="421">
      <c r="A421" s="18"/>
      <c r="B421" s="11"/>
      <c r="C421" s="11"/>
      <c r="D421" s="11"/>
      <c r="E421" s="11"/>
      <c r="F421" s="11"/>
      <c r="G421" s="11"/>
      <c r="H421" s="11"/>
      <c r="I421" s="11"/>
      <c r="J421" s="11"/>
      <c r="K421" s="11"/>
      <c r="L421" s="15"/>
      <c r="M421" s="15"/>
      <c r="N421" s="15"/>
      <c r="O421" s="15"/>
      <c r="P421" s="15"/>
      <c r="Q421" s="11"/>
      <c r="R421" s="11"/>
      <c r="S421" s="11"/>
      <c r="T421" s="11"/>
      <c r="U421" s="15"/>
      <c r="V421" s="11"/>
      <c r="W421" s="11"/>
      <c r="X421" s="11"/>
      <c r="Y421" s="11"/>
      <c r="Z421" s="11"/>
    </row>
    <row r="422">
      <c r="A422" s="18"/>
      <c r="B422" s="11"/>
      <c r="C422" s="11"/>
      <c r="D422" s="11"/>
      <c r="E422" s="11"/>
      <c r="F422" s="11"/>
      <c r="G422" s="11"/>
      <c r="H422" s="11"/>
      <c r="I422" s="11"/>
      <c r="J422" s="11"/>
      <c r="K422" s="11"/>
      <c r="L422" s="15"/>
      <c r="M422" s="15"/>
      <c r="N422" s="15"/>
      <c r="O422" s="15"/>
      <c r="P422" s="15"/>
      <c r="Q422" s="11"/>
      <c r="R422" s="11"/>
      <c r="S422" s="11"/>
      <c r="T422" s="11"/>
      <c r="U422" s="15"/>
      <c r="V422" s="11"/>
      <c r="W422" s="11"/>
      <c r="X422" s="11"/>
      <c r="Y422" s="11"/>
      <c r="Z422" s="11"/>
    </row>
    <row r="423">
      <c r="A423" s="18"/>
      <c r="B423" s="11"/>
      <c r="C423" s="11"/>
      <c r="D423" s="11"/>
      <c r="E423" s="11"/>
      <c r="F423" s="11"/>
      <c r="G423" s="11"/>
      <c r="H423" s="11"/>
      <c r="I423" s="11"/>
      <c r="J423" s="11"/>
      <c r="K423" s="11"/>
      <c r="L423" s="15"/>
      <c r="M423" s="15"/>
      <c r="N423" s="15"/>
      <c r="O423" s="15"/>
      <c r="P423" s="15"/>
      <c r="Q423" s="11"/>
      <c r="R423" s="11"/>
      <c r="S423" s="11"/>
      <c r="T423" s="11"/>
      <c r="U423" s="15"/>
      <c r="V423" s="11"/>
      <c r="W423" s="11"/>
      <c r="X423" s="11"/>
      <c r="Y423" s="11"/>
      <c r="Z423" s="11"/>
    </row>
    <row r="424">
      <c r="A424" s="18"/>
      <c r="B424" s="11"/>
      <c r="C424" s="11"/>
      <c r="D424" s="11"/>
      <c r="E424" s="11"/>
      <c r="F424" s="11"/>
      <c r="G424" s="11"/>
      <c r="H424" s="11"/>
      <c r="I424" s="11"/>
      <c r="J424" s="11"/>
      <c r="K424" s="11"/>
      <c r="L424" s="15"/>
      <c r="M424" s="15"/>
      <c r="N424" s="15"/>
      <c r="O424" s="15"/>
      <c r="P424" s="15"/>
      <c r="Q424" s="11"/>
      <c r="R424" s="11"/>
      <c r="S424" s="11"/>
      <c r="T424" s="11"/>
      <c r="U424" s="15"/>
      <c r="V424" s="11"/>
      <c r="W424" s="11"/>
      <c r="X424" s="11"/>
      <c r="Y424" s="11"/>
      <c r="Z424" s="11"/>
    </row>
    <row r="425">
      <c r="A425" s="18"/>
      <c r="B425" s="11"/>
      <c r="C425" s="11"/>
      <c r="D425" s="11"/>
      <c r="E425" s="11"/>
      <c r="F425" s="11"/>
      <c r="G425" s="11"/>
      <c r="H425" s="11"/>
      <c r="I425" s="11"/>
      <c r="J425" s="11"/>
      <c r="K425" s="11"/>
      <c r="L425" s="15"/>
      <c r="M425" s="15"/>
      <c r="N425" s="15"/>
      <c r="O425" s="15"/>
      <c r="P425" s="15"/>
      <c r="Q425" s="11"/>
      <c r="R425" s="11"/>
      <c r="S425" s="11"/>
      <c r="T425" s="11"/>
      <c r="U425" s="15"/>
      <c r="V425" s="11"/>
      <c r="W425" s="11"/>
      <c r="X425" s="11"/>
      <c r="Y425" s="11"/>
      <c r="Z425" s="11"/>
    </row>
    <row r="426">
      <c r="A426" s="18"/>
      <c r="B426" s="11"/>
      <c r="C426" s="11"/>
      <c r="D426" s="11"/>
      <c r="E426" s="11"/>
      <c r="F426" s="11"/>
      <c r="G426" s="11"/>
      <c r="H426" s="11"/>
      <c r="I426" s="11"/>
      <c r="J426" s="11"/>
      <c r="K426" s="11"/>
      <c r="L426" s="15"/>
      <c r="M426" s="15"/>
      <c r="N426" s="15"/>
      <c r="O426" s="15"/>
      <c r="P426" s="15"/>
      <c r="Q426" s="11"/>
      <c r="R426" s="11"/>
      <c r="S426" s="11"/>
      <c r="T426" s="11"/>
      <c r="U426" s="15"/>
      <c r="V426" s="11"/>
      <c r="W426" s="11"/>
      <c r="X426" s="11"/>
      <c r="Y426" s="11"/>
      <c r="Z426" s="11"/>
    </row>
    <row r="427">
      <c r="A427" s="18"/>
      <c r="B427" s="11"/>
      <c r="C427" s="11"/>
      <c r="D427" s="11"/>
      <c r="E427" s="11"/>
      <c r="F427" s="11"/>
      <c r="G427" s="11"/>
      <c r="H427" s="11"/>
      <c r="I427" s="11"/>
      <c r="J427" s="11"/>
      <c r="K427" s="11"/>
      <c r="L427" s="15"/>
      <c r="M427" s="15"/>
      <c r="N427" s="15"/>
      <c r="O427" s="15"/>
      <c r="P427" s="15"/>
      <c r="Q427" s="11"/>
      <c r="R427" s="11"/>
      <c r="S427" s="11"/>
      <c r="T427" s="11"/>
      <c r="U427" s="15"/>
      <c r="V427" s="11"/>
      <c r="W427" s="11"/>
      <c r="X427" s="11"/>
      <c r="Y427" s="11"/>
      <c r="Z427" s="11"/>
    </row>
    <row r="428">
      <c r="A428" s="18"/>
      <c r="B428" s="11"/>
      <c r="C428" s="11"/>
      <c r="D428" s="11"/>
      <c r="E428" s="11"/>
      <c r="F428" s="11"/>
      <c r="G428" s="11"/>
      <c r="H428" s="11"/>
      <c r="I428" s="11"/>
      <c r="J428" s="11"/>
      <c r="K428" s="11"/>
      <c r="L428" s="15"/>
      <c r="M428" s="15"/>
      <c r="N428" s="15"/>
      <c r="O428" s="15"/>
      <c r="P428" s="15"/>
      <c r="Q428" s="11"/>
      <c r="R428" s="11"/>
      <c r="S428" s="11"/>
      <c r="T428" s="11"/>
      <c r="U428" s="15"/>
      <c r="V428" s="11"/>
      <c r="W428" s="11"/>
      <c r="X428" s="11"/>
      <c r="Y428" s="11"/>
      <c r="Z428" s="11"/>
    </row>
    <row r="429">
      <c r="A429" s="18"/>
      <c r="B429" s="11"/>
      <c r="C429" s="11"/>
      <c r="D429" s="11"/>
      <c r="E429" s="11"/>
      <c r="F429" s="11"/>
      <c r="G429" s="11"/>
      <c r="H429" s="11"/>
      <c r="I429" s="11"/>
      <c r="J429" s="11"/>
      <c r="K429" s="11"/>
      <c r="L429" s="15"/>
      <c r="M429" s="15"/>
      <c r="N429" s="15"/>
      <c r="O429" s="15"/>
      <c r="P429" s="15"/>
      <c r="Q429" s="11"/>
      <c r="R429" s="11"/>
      <c r="S429" s="11"/>
      <c r="T429" s="11"/>
      <c r="U429" s="15"/>
      <c r="V429" s="11"/>
      <c r="W429" s="11"/>
      <c r="X429" s="11"/>
      <c r="Y429" s="11"/>
      <c r="Z429" s="11"/>
    </row>
    <row r="430">
      <c r="A430" s="18"/>
      <c r="B430" s="11"/>
      <c r="C430" s="11"/>
      <c r="D430" s="11"/>
      <c r="E430" s="11"/>
      <c r="F430" s="11"/>
      <c r="G430" s="11"/>
      <c r="H430" s="11"/>
      <c r="I430" s="11"/>
      <c r="J430" s="11"/>
      <c r="K430" s="11"/>
      <c r="L430" s="15"/>
      <c r="M430" s="15"/>
      <c r="N430" s="15"/>
      <c r="O430" s="15"/>
      <c r="P430" s="15"/>
      <c r="Q430" s="11"/>
      <c r="R430" s="11"/>
      <c r="S430" s="11"/>
      <c r="T430" s="11"/>
      <c r="U430" s="15"/>
      <c r="V430" s="11"/>
      <c r="W430" s="11"/>
      <c r="X430" s="11"/>
      <c r="Y430" s="11"/>
      <c r="Z430" s="11"/>
    </row>
    <row r="431">
      <c r="A431" s="18"/>
      <c r="B431" s="11"/>
      <c r="C431" s="11"/>
      <c r="D431" s="11"/>
      <c r="E431" s="11"/>
      <c r="F431" s="11"/>
      <c r="G431" s="11"/>
      <c r="H431" s="11"/>
      <c r="I431" s="11"/>
      <c r="J431" s="11"/>
      <c r="K431" s="11"/>
      <c r="L431" s="15"/>
      <c r="M431" s="15"/>
      <c r="N431" s="15"/>
      <c r="O431" s="15"/>
      <c r="P431" s="15"/>
      <c r="Q431" s="11"/>
      <c r="R431" s="11"/>
      <c r="S431" s="11"/>
      <c r="T431" s="11"/>
      <c r="U431" s="15"/>
      <c r="V431" s="11"/>
      <c r="W431" s="11"/>
      <c r="X431" s="11"/>
      <c r="Y431" s="11"/>
      <c r="Z431" s="11"/>
    </row>
    <row r="432">
      <c r="A432" s="18"/>
      <c r="B432" s="11"/>
      <c r="C432" s="11"/>
      <c r="D432" s="11"/>
      <c r="E432" s="11"/>
      <c r="F432" s="11"/>
      <c r="G432" s="11"/>
      <c r="H432" s="11"/>
      <c r="I432" s="11"/>
      <c r="J432" s="11"/>
      <c r="K432" s="11"/>
      <c r="L432" s="15"/>
      <c r="M432" s="15"/>
      <c r="N432" s="15"/>
      <c r="O432" s="15"/>
      <c r="P432" s="15"/>
      <c r="Q432" s="11"/>
      <c r="R432" s="11"/>
      <c r="S432" s="11"/>
      <c r="T432" s="11"/>
      <c r="U432" s="15"/>
      <c r="V432" s="11"/>
      <c r="W432" s="11"/>
      <c r="X432" s="11"/>
      <c r="Y432" s="11"/>
      <c r="Z432" s="11"/>
    </row>
    <row r="433">
      <c r="A433" s="18"/>
      <c r="B433" s="11"/>
      <c r="C433" s="11"/>
      <c r="D433" s="11"/>
      <c r="E433" s="11"/>
      <c r="F433" s="11"/>
      <c r="G433" s="11"/>
      <c r="H433" s="11"/>
      <c r="I433" s="11"/>
      <c r="J433" s="11"/>
      <c r="K433" s="11"/>
      <c r="L433" s="15"/>
      <c r="M433" s="15"/>
      <c r="N433" s="15"/>
      <c r="O433" s="15"/>
      <c r="P433" s="15"/>
      <c r="Q433" s="11"/>
      <c r="R433" s="11"/>
      <c r="S433" s="11"/>
      <c r="T433" s="11"/>
      <c r="U433" s="15"/>
      <c r="V433" s="11"/>
      <c r="W433" s="11"/>
      <c r="X433" s="11"/>
      <c r="Y433" s="11"/>
      <c r="Z433" s="11"/>
    </row>
    <row r="434">
      <c r="A434" s="18"/>
      <c r="B434" s="11"/>
      <c r="C434" s="11"/>
      <c r="D434" s="11"/>
      <c r="E434" s="11"/>
      <c r="F434" s="11"/>
      <c r="G434" s="11"/>
      <c r="H434" s="11"/>
      <c r="I434" s="11"/>
      <c r="J434" s="11"/>
      <c r="K434" s="11"/>
      <c r="L434" s="15"/>
      <c r="M434" s="15"/>
      <c r="N434" s="15"/>
      <c r="O434" s="15"/>
      <c r="P434" s="15"/>
      <c r="Q434" s="11"/>
      <c r="R434" s="11"/>
      <c r="S434" s="11"/>
      <c r="T434" s="11"/>
      <c r="U434" s="15"/>
      <c r="V434" s="11"/>
      <c r="W434" s="11"/>
      <c r="X434" s="11"/>
      <c r="Y434" s="11"/>
      <c r="Z434" s="11"/>
    </row>
    <row r="435">
      <c r="A435" s="18"/>
      <c r="B435" s="11"/>
      <c r="C435" s="11"/>
      <c r="D435" s="11"/>
      <c r="E435" s="11"/>
      <c r="F435" s="11"/>
      <c r="G435" s="11"/>
      <c r="H435" s="11"/>
      <c r="I435" s="11"/>
      <c r="J435" s="11"/>
      <c r="K435" s="11"/>
      <c r="L435" s="15"/>
      <c r="M435" s="15"/>
      <c r="N435" s="15"/>
      <c r="O435" s="15"/>
      <c r="P435" s="15"/>
      <c r="Q435" s="11"/>
      <c r="R435" s="11"/>
      <c r="S435" s="11"/>
      <c r="T435" s="11"/>
      <c r="U435" s="15"/>
      <c r="V435" s="11"/>
      <c r="W435" s="11"/>
      <c r="X435" s="11"/>
      <c r="Y435" s="11"/>
      <c r="Z435" s="11"/>
    </row>
    <row r="436">
      <c r="A436" s="18"/>
      <c r="B436" s="11"/>
      <c r="C436" s="11"/>
      <c r="D436" s="11"/>
      <c r="E436" s="11"/>
      <c r="F436" s="11"/>
      <c r="G436" s="11"/>
      <c r="H436" s="11"/>
      <c r="I436" s="11"/>
      <c r="J436" s="11"/>
      <c r="K436" s="11"/>
      <c r="L436" s="15"/>
      <c r="M436" s="15"/>
      <c r="N436" s="15"/>
      <c r="O436" s="15"/>
      <c r="P436" s="15"/>
      <c r="Q436" s="11"/>
      <c r="R436" s="11"/>
      <c r="S436" s="11"/>
      <c r="T436" s="11"/>
      <c r="U436" s="15"/>
      <c r="V436" s="11"/>
      <c r="W436" s="11"/>
      <c r="X436" s="11"/>
      <c r="Y436" s="11"/>
      <c r="Z436" s="11"/>
    </row>
    <row r="437">
      <c r="A437" s="18"/>
      <c r="B437" s="11"/>
      <c r="C437" s="11"/>
      <c r="D437" s="11"/>
      <c r="E437" s="11"/>
      <c r="F437" s="11"/>
      <c r="G437" s="11"/>
      <c r="H437" s="11"/>
      <c r="I437" s="11"/>
      <c r="J437" s="11"/>
      <c r="K437" s="11"/>
      <c r="L437" s="15"/>
      <c r="M437" s="15"/>
      <c r="N437" s="15"/>
      <c r="O437" s="15"/>
      <c r="P437" s="15"/>
      <c r="Q437" s="11"/>
      <c r="R437" s="11"/>
      <c r="S437" s="11"/>
      <c r="T437" s="11"/>
      <c r="U437" s="15"/>
      <c r="V437" s="11"/>
      <c r="W437" s="11"/>
      <c r="X437" s="11"/>
      <c r="Y437" s="11"/>
      <c r="Z437" s="11"/>
    </row>
    <row r="438">
      <c r="A438" s="18"/>
      <c r="B438" s="11"/>
      <c r="C438" s="11"/>
      <c r="D438" s="11"/>
      <c r="E438" s="11"/>
      <c r="F438" s="11"/>
      <c r="G438" s="11"/>
      <c r="H438" s="11"/>
      <c r="I438" s="11"/>
      <c r="J438" s="11"/>
      <c r="K438" s="11"/>
      <c r="L438" s="15"/>
      <c r="M438" s="15"/>
      <c r="N438" s="15"/>
      <c r="O438" s="15"/>
      <c r="P438" s="15"/>
      <c r="Q438" s="11"/>
      <c r="R438" s="11"/>
      <c r="S438" s="11"/>
      <c r="T438" s="11"/>
      <c r="U438" s="15"/>
      <c r="V438" s="11"/>
      <c r="W438" s="11"/>
      <c r="X438" s="11"/>
      <c r="Y438" s="11"/>
      <c r="Z438" s="11"/>
    </row>
    <row r="439">
      <c r="A439" s="18"/>
      <c r="B439" s="11"/>
      <c r="C439" s="11"/>
      <c r="D439" s="11"/>
      <c r="E439" s="11"/>
      <c r="F439" s="11"/>
      <c r="G439" s="11"/>
      <c r="H439" s="11"/>
      <c r="I439" s="11"/>
      <c r="J439" s="11"/>
      <c r="K439" s="11"/>
      <c r="L439" s="15"/>
      <c r="M439" s="15"/>
      <c r="N439" s="15"/>
      <c r="O439" s="15"/>
      <c r="P439" s="15"/>
      <c r="Q439" s="11"/>
      <c r="R439" s="11"/>
      <c r="S439" s="11"/>
      <c r="T439" s="11"/>
      <c r="U439" s="15"/>
      <c r="V439" s="11"/>
      <c r="W439" s="11"/>
      <c r="X439" s="11"/>
      <c r="Y439" s="11"/>
      <c r="Z439" s="11"/>
    </row>
    <row r="440">
      <c r="A440" s="18"/>
      <c r="B440" s="11"/>
      <c r="C440" s="11"/>
      <c r="D440" s="11"/>
      <c r="E440" s="11"/>
      <c r="F440" s="11"/>
      <c r="G440" s="11"/>
      <c r="H440" s="11"/>
      <c r="I440" s="11"/>
      <c r="J440" s="11"/>
      <c r="K440" s="11"/>
      <c r="L440" s="15"/>
      <c r="M440" s="15"/>
      <c r="N440" s="15"/>
      <c r="O440" s="15"/>
      <c r="P440" s="15"/>
      <c r="Q440" s="11"/>
      <c r="R440" s="11"/>
      <c r="S440" s="11"/>
      <c r="T440" s="11"/>
      <c r="U440" s="15"/>
      <c r="V440" s="11"/>
      <c r="W440" s="11"/>
      <c r="X440" s="11"/>
      <c r="Y440" s="11"/>
      <c r="Z440" s="11"/>
    </row>
    <row r="441">
      <c r="A441" s="18"/>
      <c r="B441" s="11"/>
      <c r="C441" s="11"/>
      <c r="D441" s="11"/>
      <c r="E441" s="11"/>
      <c r="F441" s="11"/>
      <c r="G441" s="11"/>
      <c r="H441" s="11"/>
      <c r="I441" s="11"/>
      <c r="J441" s="11"/>
      <c r="K441" s="11"/>
      <c r="L441" s="15"/>
      <c r="M441" s="15"/>
      <c r="N441" s="15"/>
      <c r="O441" s="15"/>
      <c r="P441" s="15"/>
      <c r="Q441" s="11"/>
      <c r="R441" s="11"/>
      <c r="S441" s="11"/>
      <c r="T441" s="11"/>
      <c r="U441" s="15"/>
      <c r="V441" s="11"/>
      <c r="W441" s="11"/>
      <c r="X441" s="11"/>
      <c r="Y441" s="11"/>
      <c r="Z441" s="11"/>
    </row>
    <row r="442">
      <c r="A442" s="18"/>
      <c r="B442" s="11"/>
      <c r="C442" s="11"/>
      <c r="D442" s="11"/>
      <c r="E442" s="11"/>
      <c r="F442" s="11"/>
      <c r="G442" s="11"/>
      <c r="H442" s="11"/>
      <c r="I442" s="11"/>
      <c r="J442" s="11"/>
      <c r="K442" s="11"/>
      <c r="L442" s="15"/>
      <c r="M442" s="15"/>
      <c r="N442" s="15"/>
      <c r="O442" s="15"/>
      <c r="P442" s="15"/>
      <c r="Q442" s="11"/>
      <c r="R442" s="11"/>
      <c r="S442" s="11"/>
      <c r="T442" s="11"/>
      <c r="U442" s="15"/>
      <c r="V442" s="11"/>
      <c r="W442" s="11"/>
      <c r="X442" s="11"/>
      <c r="Y442" s="11"/>
      <c r="Z442" s="11"/>
    </row>
    <row r="443">
      <c r="A443" s="18"/>
      <c r="B443" s="11"/>
      <c r="C443" s="11"/>
      <c r="D443" s="11"/>
      <c r="E443" s="11"/>
      <c r="F443" s="11"/>
      <c r="G443" s="11"/>
      <c r="H443" s="11"/>
      <c r="I443" s="11"/>
      <c r="J443" s="11"/>
      <c r="K443" s="11"/>
      <c r="L443" s="15"/>
      <c r="M443" s="15"/>
      <c r="N443" s="15"/>
      <c r="O443" s="15"/>
      <c r="P443" s="15"/>
      <c r="Q443" s="11"/>
      <c r="R443" s="11"/>
      <c r="S443" s="11"/>
      <c r="T443" s="11"/>
      <c r="U443" s="15"/>
      <c r="V443" s="11"/>
      <c r="W443" s="11"/>
      <c r="X443" s="11"/>
      <c r="Y443" s="11"/>
      <c r="Z443" s="11"/>
    </row>
    <row r="444">
      <c r="A444" s="18"/>
      <c r="B444" s="11"/>
      <c r="C444" s="11"/>
      <c r="D444" s="11"/>
      <c r="E444" s="11"/>
      <c r="F444" s="11"/>
      <c r="G444" s="11"/>
      <c r="H444" s="11"/>
      <c r="I444" s="11"/>
      <c r="J444" s="11"/>
      <c r="K444" s="11"/>
      <c r="L444" s="15"/>
      <c r="M444" s="15"/>
      <c r="N444" s="15"/>
      <c r="O444" s="15"/>
      <c r="P444" s="15"/>
      <c r="Q444" s="11"/>
      <c r="R444" s="11"/>
      <c r="S444" s="11"/>
      <c r="T444" s="11"/>
      <c r="U444" s="15"/>
      <c r="V444" s="11"/>
      <c r="W444" s="11"/>
      <c r="X444" s="11"/>
      <c r="Y444" s="11"/>
      <c r="Z444" s="11"/>
    </row>
    <row r="445">
      <c r="A445" s="18"/>
      <c r="B445" s="11"/>
      <c r="C445" s="11"/>
      <c r="D445" s="11"/>
      <c r="E445" s="11"/>
      <c r="F445" s="11"/>
      <c r="G445" s="11"/>
      <c r="H445" s="11"/>
      <c r="I445" s="11"/>
      <c r="J445" s="11"/>
      <c r="K445" s="11"/>
      <c r="L445" s="15"/>
      <c r="M445" s="15"/>
      <c r="N445" s="15"/>
      <c r="O445" s="15"/>
      <c r="P445" s="15"/>
      <c r="Q445" s="11"/>
      <c r="R445" s="11"/>
      <c r="S445" s="11"/>
      <c r="T445" s="11"/>
      <c r="U445" s="15"/>
      <c r="V445" s="11"/>
      <c r="W445" s="11"/>
      <c r="X445" s="11"/>
      <c r="Y445" s="11"/>
      <c r="Z445" s="11"/>
    </row>
    <row r="446">
      <c r="A446" s="18"/>
      <c r="B446" s="11"/>
      <c r="C446" s="11"/>
      <c r="D446" s="11"/>
      <c r="E446" s="11"/>
      <c r="F446" s="11"/>
      <c r="G446" s="11"/>
      <c r="H446" s="11"/>
      <c r="I446" s="11"/>
      <c r="J446" s="11"/>
      <c r="K446" s="11"/>
      <c r="L446" s="15"/>
      <c r="M446" s="15"/>
      <c r="N446" s="15"/>
      <c r="O446" s="15"/>
      <c r="P446" s="15"/>
      <c r="Q446" s="11"/>
      <c r="R446" s="11"/>
      <c r="S446" s="11"/>
      <c r="T446" s="11"/>
      <c r="U446" s="15"/>
      <c r="V446" s="11"/>
      <c r="W446" s="11"/>
      <c r="X446" s="11"/>
      <c r="Y446" s="11"/>
      <c r="Z446" s="11"/>
    </row>
    <row r="447">
      <c r="A447" s="18"/>
      <c r="B447" s="11"/>
      <c r="C447" s="11"/>
      <c r="D447" s="11"/>
      <c r="E447" s="11"/>
      <c r="F447" s="11"/>
      <c r="G447" s="11"/>
      <c r="H447" s="11"/>
      <c r="I447" s="11"/>
      <c r="J447" s="11"/>
      <c r="K447" s="11"/>
      <c r="L447" s="15"/>
      <c r="M447" s="15"/>
      <c r="N447" s="15"/>
      <c r="O447" s="15"/>
      <c r="P447" s="15"/>
      <c r="Q447" s="11"/>
      <c r="R447" s="11"/>
      <c r="S447" s="11"/>
      <c r="T447" s="11"/>
      <c r="U447" s="15"/>
      <c r="V447" s="11"/>
      <c r="W447" s="11"/>
      <c r="X447" s="11"/>
      <c r="Y447" s="11"/>
      <c r="Z447" s="11"/>
    </row>
    <row r="448">
      <c r="A448" s="18"/>
      <c r="B448" s="11"/>
      <c r="C448" s="11"/>
      <c r="D448" s="11"/>
      <c r="E448" s="11"/>
      <c r="F448" s="11"/>
      <c r="G448" s="11"/>
      <c r="H448" s="11"/>
      <c r="I448" s="11"/>
      <c r="J448" s="11"/>
      <c r="K448" s="11"/>
      <c r="L448" s="15"/>
      <c r="M448" s="15"/>
      <c r="N448" s="15"/>
      <c r="O448" s="15"/>
      <c r="P448" s="15"/>
      <c r="Q448" s="11"/>
      <c r="R448" s="11"/>
      <c r="S448" s="11"/>
      <c r="T448" s="11"/>
      <c r="U448" s="15"/>
      <c r="V448" s="11"/>
      <c r="W448" s="11"/>
      <c r="X448" s="11"/>
      <c r="Y448" s="11"/>
      <c r="Z448" s="11"/>
    </row>
    <row r="449">
      <c r="A449" s="18"/>
      <c r="B449" s="11"/>
      <c r="C449" s="11"/>
      <c r="D449" s="11"/>
      <c r="E449" s="11"/>
      <c r="F449" s="11"/>
      <c r="G449" s="11"/>
      <c r="H449" s="11"/>
      <c r="I449" s="11"/>
      <c r="J449" s="11"/>
      <c r="K449" s="11"/>
      <c r="L449" s="15"/>
      <c r="M449" s="15"/>
      <c r="N449" s="15"/>
      <c r="O449" s="15"/>
      <c r="P449" s="15"/>
      <c r="Q449" s="11"/>
      <c r="R449" s="11"/>
      <c r="S449" s="11"/>
      <c r="T449" s="11"/>
      <c r="U449" s="15"/>
      <c r="V449" s="11"/>
      <c r="W449" s="11"/>
      <c r="X449" s="11"/>
      <c r="Y449" s="11"/>
      <c r="Z449" s="11"/>
    </row>
    <row r="450">
      <c r="A450" s="18"/>
      <c r="B450" s="11"/>
      <c r="C450" s="11"/>
      <c r="D450" s="11"/>
      <c r="E450" s="11"/>
      <c r="F450" s="11"/>
      <c r="G450" s="11"/>
      <c r="H450" s="11"/>
      <c r="I450" s="11"/>
      <c r="J450" s="11"/>
      <c r="K450" s="11"/>
      <c r="L450" s="15"/>
      <c r="M450" s="15"/>
      <c r="N450" s="15"/>
      <c r="O450" s="15"/>
      <c r="P450" s="15"/>
      <c r="Q450" s="11"/>
      <c r="R450" s="11"/>
      <c r="S450" s="11"/>
      <c r="T450" s="11"/>
      <c r="U450" s="15"/>
      <c r="V450" s="11"/>
      <c r="W450" s="11"/>
      <c r="X450" s="11"/>
      <c r="Y450" s="11"/>
      <c r="Z450" s="11"/>
    </row>
    <row r="451">
      <c r="A451" s="18"/>
      <c r="B451" s="11"/>
      <c r="C451" s="11"/>
      <c r="D451" s="11"/>
      <c r="E451" s="11"/>
      <c r="F451" s="11"/>
      <c r="G451" s="11"/>
      <c r="H451" s="11"/>
      <c r="I451" s="11"/>
      <c r="J451" s="11"/>
      <c r="K451" s="11"/>
      <c r="L451" s="15"/>
      <c r="M451" s="15"/>
      <c r="N451" s="15"/>
      <c r="O451" s="15"/>
      <c r="P451" s="15"/>
      <c r="Q451" s="11"/>
      <c r="R451" s="11"/>
      <c r="S451" s="11"/>
      <c r="T451" s="11"/>
      <c r="U451" s="15"/>
      <c r="V451" s="11"/>
      <c r="W451" s="11"/>
      <c r="X451" s="11"/>
      <c r="Y451" s="11"/>
      <c r="Z451" s="11"/>
    </row>
    <row r="452">
      <c r="A452" s="18"/>
      <c r="B452" s="11"/>
      <c r="C452" s="11"/>
      <c r="D452" s="11"/>
      <c r="E452" s="11"/>
      <c r="F452" s="11"/>
      <c r="G452" s="11"/>
      <c r="H452" s="11"/>
      <c r="I452" s="11"/>
      <c r="J452" s="11"/>
      <c r="K452" s="11"/>
      <c r="L452" s="15"/>
      <c r="M452" s="15"/>
      <c r="N452" s="15"/>
      <c r="O452" s="15"/>
      <c r="P452" s="15"/>
      <c r="Q452" s="11"/>
      <c r="R452" s="11"/>
      <c r="S452" s="11"/>
      <c r="T452" s="11"/>
      <c r="U452" s="15"/>
      <c r="V452" s="11"/>
      <c r="W452" s="11"/>
      <c r="X452" s="11"/>
      <c r="Y452" s="11"/>
      <c r="Z452" s="11"/>
    </row>
    <row r="453">
      <c r="A453" s="18"/>
      <c r="B453" s="11"/>
      <c r="C453" s="11"/>
      <c r="D453" s="11"/>
      <c r="E453" s="11"/>
      <c r="F453" s="11"/>
      <c r="G453" s="11"/>
      <c r="H453" s="11"/>
      <c r="I453" s="11"/>
      <c r="J453" s="11"/>
      <c r="K453" s="11"/>
      <c r="L453" s="15"/>
      <c r="M453" s="15"/>
      <c r="N453" s="15"/>
      <c r="O453" s="15"/>
      <c r="P453" s="15"/>
      <c r="Q453" s="11"/>
      <c r="R453" s="11"/>
      <c r="S453" s="11"/>
      <c r="T453" s="11"/>
      <c r="U453" s="15"/>
      <c r="V453" s="11"/>
      <c r="W453" s="11"/>
      <c r="X453" s="11"/>
      <c r="Y453" s="11"/>
      <c r="Z453" s="11"/>
    </row>
    <row r="454">
      <c r="A454" s="18"/>
      <c r="B454" s="11"/>
      <c r="C454" s="11"/>
      <c r="D454" s="11"/>
      <c r="E454" s="11"/>
      <c r="F454" s="11"/>
      <c r="G454" s="11"/>
      <c r="H454" s="11"/>
      <c r="I454" s="11"/>
      <c r="J454" s="11"/>
      <c r="K454" s="11"/>
      <c r="L454" s="15"/>
      <c r="M454" s="15"/>
      <c r="N454" s="15"/>
      <c r="O454" s="15"/>
      <c r="P454" s="15"/>
      <c r="Q454" s="11"/>
      <c r="R454" s="11"/>
      <c r="S454" s="11"/>
      <c r="T454" s="11"/>
      <c r="U454" s="15"/>
      <c r="V454" s="11"/>
      <c r="W454" s="11"/>
      <c r="X454" s="11"/>
      <c r="Y454" s="11"/>
      <c r="Z454" s="11"/>
    </row>
    <row r="455">
      <c r="A455" s="18"/>
      <c r="B455" s="11"/>
      <c r="C455" s="11"/>
      <c r="D455" s="11"/>
      <c r="E455" s="11"/>
      <c r="F455" s="11"/>
      <c r="G455" s="11"/>
      <c r="H455" s="11"/>
      <c r="I455" s="11"/>
      <c r="J455" s="11"/>
      <c r="K455" s="11"/>
      <c r="L455" s="15"/>
      <c r="M455" s="15"/>
      <c r="N455" s="15"/>
      <c r="O455" s="15"/>
      <c r="P455" s="15"/>
      <c r="Q455" s="11"/>
      <c r="R455" s="11"/>
      <c r="S455" s="11"/>
      <c r="T455" s="11"/>
      <c r="U455" s="15"/>
      <c r="V455" s="11"/>
      <c r="W455" s="11"/>
      <c r="X455" s="11"/>
      <c r="Y455" s="11"/>
      <c r="Z455" s="11"/>
    </row>
    <row r="456">
      <c r="A456" s="18"/>
      <c r="B456" s="11"/>
      <c r="C456" s="11"/>
      <c r="D456" s="11"/>
      <c r="E456" s="11"/>
      <c r="F456" s="11"/>
      <c r="G456" s="11"/>
      <c r="H456" s="11"/>
      <c r="I456" s="11"/>
      <c r="J456" s="11"/>
      <c r="K456" s="11"/>
      <c r="L456" s="15"/>
      <c r="M456" s="15"/>
      <c r="N456" s="15"/>
      <c r="O456" s="15"/>
      <c r="P456" s="15"/>
      <c r="Q456" s="11"/>
      <c r="R456" s="11"/>
      <c r="S456" s="11"/>
      <c r="T456" s="11"/>
      <c r="U456" s="15"/>
      <c r="V456" s="11"/>
      <c r="W456" s="11"/>
      <c r="X456" s="11"/>
      <c r="Y456" s="11"/>
      <c r="Z456" s="11"/>
    </row>
    <row r="457">
      <c r="A457" s="18"/>
      <c r="B457" s="11"/>
      <c r="C457" s="11"/>
      <c r="D457" s="11"/>
      <c r="E457" s="11"/>
      <c r="F457" s="11"/>
      <c r="G457" s="11"/>
      <c r="H457" s="11"/>
      <c r="I457" s="11"/>
      <c r="J457" s="11"/>
      <c r="K457" s="11"/>
      <c r="L457" s="15"/>
      <c r="M457" s="15"/>
      <c r="N457" s="15"/>
      <c r="O457" s="15"/>
      <c r="P457" s="15"/>
      <c r="Q457" s="11"/>
      <c r="R457" s="11"/>
      <c r="S457" s="11"/>
      <c r="T457" s="11"/>
      <c r="U457" s="15"/>
      <c r="V457" s="11"/>
      <c r="W457" s="11"/>
      <c r="X457" s="11"/>
      <c r="Y457" s="11"/>
      <c r="Z457" s="11"/>
    </row>
    <row r="458">
      <c r="A458" s="18"/>
      <c r="B458" s="11"/>
      <c r="C458" s="11"/>
      <c r="D458" s="11"/>
      <c r="E458" s="11"/>
      <c r="F458" s="11"/>
      <c r="G458" s="11"/>
      <c r="H458" s="11"/>
      <c r="I458" s="11"/>
      <c r="J458" s="11"/>
      <c r="K458" s="11"/>
      <c r="L458" s="15"/>
      <c r="M458" s="15"/>
      <c r="N458" s="15"/>
      <c r="O458" s="15"/>
      <c r="P458" s="15"/>
      <c r="Q458" s="11"/>
      <c r="R458" s="11"/>
      <c r="S458" s="11"/>
      <c r="T458" s="11"/>
      <c r="U458" s="15"/>
      <c r="V458" s="11"/>
      <c r="W458" s="11"/>
      <c r="X458" s="11"/>
      <c r="Y458" s="11"/>
      <c r="Z458" s="11"/>
    </row>
    <row r="459">
      <c r="A459" s="18"/>
      <c r="B459" s="11"/>
      <c r="C459" s="11"/>
      <c r="D459" s="11"/>
      <c r="E459" s="11"/>
      <c r="F459" s="11"/>
      <c r="G459" s="11"/>
      <c r="H459" s="11"/>
      <c r="I459" s="11"/>
      <c r="J459" s="11"/>
      <c r="K459" s="11"/>
      <c r="L459" s="15"/>
      <c r="M459" s="15"/>
      <c r="N459" s="15"/>
      <c r="O459" s="15"/>
      <c r="P459" s="15"/>
      <c r="Q459" s="11"/>
      <c r="R459" s="11"/>
      <c r="S459" s="11"/>
      <c r="T459" s="11"/>
      <c r="U459" s="15"/>
      <c r="V459" s="11"/>
      <c r="W459" s="11"/>
      <c r="X459" s="11"/>
      <c r="Y459" s="11"/>
      <c r="Z459" s="11"/>
    </row>
    <row r="460">
      <c r="A460" s="18"/>
      <c r="B460" s="11"/>
      <c r="C460" s="11"/>
      <c r="D460" s="11"/>
      <c r="E460" s="11"/>
      <c r="F460" s="11"/>
      <c r="G460" s="11"/>
      <c r="H460" s="11"/>
      <c r="I460" s="11"/>
      <c r="J460" s="11"/>
      <c r="K460" s="11"/>
      <c r="L460" s="15"/>
      <c r="M460" s="15"/>
      <c r="N460" s="15"/>
      <c r="O460" s="15"/>
      <c r="P460" s="15"/>
      <c r="Q460" s="11"/>
      <c r="R460" s="11"/>
      <c r="S460" s="11"/>
      <c r="T460" s="11"/>
      <c r="U460" s="15"/>
      <c r="V460" s="11"/>
      <c r="W460" s="11"/>
      <c r="X460" s="11"/>
      <c r="Y460" s="11"/>
      <c r="Z460" s="11"/>
    </row>
    <row r="461">
      <c r="A461" s="18"/>
      <c r="B461" s="11"/>
      <c r="C461" s="11"/>
      <c r="D461" s="11"/>
      <c r="E461" s="11"/>
      <c r="F461" s="11"/>
      <c r="G461" s="11"/>
      <c r="H461" s="11"/>
      <c r="I461" s="11"/>
      <c r="J461" s="11"/>
      <c r="K461" s="11"/>
      <c r="L461" s="15"/>
      <c r="M461" s="15"/>
      <c r="N461" s="15"/>
      <c r="O461" s="15"/>
      <c r="P461" s="15"/>
      <c r="Q461" s="11"/>
      <c r="R461" s="11"/>
      <c r="S461" s="11"/>
      <c r="T461" s="11"/>
      <c r="U461" s="15"/>
      <c r="V461" s="11"/>
      <c r="W461" s="11"/>
      <c r="X461" s="11"/>
      <c r="Y461" s="11"/>
      <c r="Z461" s="11"/>
    </row>
    <row r="462">
      <c r="A462" s="18"/>
      <c r="B462" s="11"/>
      <c r="C462" s="11"/>
      <c r="D462" s="11"/>
      <c r="E462" s="11"/>
      <c r="F462" s="11"/>
      <c r="G462" s="11"/>
      <c r="H462" s="11"/>
      <c r="I462" s="11"/>
      <c r="J462" s="11"/>
      <c r="K462" s="11"/>
      <c r="L462" s="15"/>
      <c r="M462" s="15"/>
      <c r="N462" s="15"/>
      <c r="O462" s="15"/>
      <c r="P462" s="15"/>
      <c r="Q462" s="11"/>
      <c r="R462" s="11"/>
      <c r="S462" s="11"/>
      <c r="T462" s="11"/>
      <c r="U462" s="15"/>
      <c r="V462" s="11"/>
      <c r="W462" s="11"/>
      <c r="X462" s="11"/>
      <c r="Y462" s="11"/>
      <c r="Z462" s="11"/>
    </row>
    <row r="463">
      <c r="A463" s="18"/>
      <c r="B463" s="11"/>
      <c r="C463" s="11"/>
      <c r="D463" s="11"/>
      <c r="E463" s="11"/>
      <c r="F463" s="11"/>
      <c r="G463" s="11"/>
      <c r="H463" s="11"/>
      <c r="I463" s="11"/>
      <c r="J463" s="11"/>
      <c r="K463" s="11"/>
      <c r="L463" s="15"/>
      <c r="M463" s="15"/>
      <c r="N463" s="15"/>
      <c r="O463" s="15"/>
      <c r="P463" s="15"/>
      <c r="Q463" s="11"/>
      <c r="R463" s="11"/>
      <c r="S463" s="11"/>
      <c r="T463" s="11"/>
      <c r="U463" s="15"/>
      <c r="V463" s="11"/>
      <c r="W463" s="11"/>
      <c r="X463" s="11"/>
      <c r="Y463" s="11"/>
      <c r="Z463" s="11"/>
    </row>
    <row r="464">
      <c r="A464" s="18"/>
      <c r="B464" s="11"/>
      <c r="C464" s="11"/>
      <c r="D464" s="11"/>
      <c r="E464" s="11"/>
      <c r="F464" s="11"/>
      <c r="G464" s="11"/>
      <c r="H464" s="11"/>
      <c r="I464" s="11"/>
      <c r="J464" s="11"/>
      <c r="K464" s="11"/>
      <c r="L464" s="15"/>
      <c r="M464" s="15"/>
      <c r="N464" s="15"/>
      <c r="O464" s="15"/>
      <c r="P464" s="15"/>
      <c r="Q464" s="11"/>
      <c r="R464" s="11"/>
      <c r="S464" s="11"/>
      <c r="T464" s="11"/>
      <c r="U464" s="15"/>
      <c r="V464" s="11"/>
      <c r="W464" s="11"/>
      <c r="X464" s="11"/>
      <c r="Y464" s="11"/>
      <c r="Z464" s="11"/>
    </row>
    <row r="465">
      <c r="A465" s="18"/>
      <c r="B465" s="11"/>
      <c r="C465" s="11"/>
      <c r="D465" s="11"/>
      <c r="E465" s="11"/>
      <c r="F465" s="11"/>
      <c r="G465" s="11"/>
      <c r="H465" s="11"/>
      <c r="I465" s="11"/>
      <c r="J465" s="11"/>
      <c r="K465" s="11"/>
      <c r="L465" s="15"/>
      <c r="M465" s="15"/>
      <c r="N465" s="15"/>
      <c r="O465" s="15"/>
      <c r="P465" s="15"/>
      <c r="Q465" s="11"/>
      <c r="R465" s="11"/>
      <c r="S465" s="11"/>
      <c r="T465" s="11"/>
      <c r="U465" s="15"/>
      <c r="V465" s="11"/>
      <c r="W465" s="11"/>
      <c r="X465" s="11"/>
      <c r="Y465" s="11"/>
      <c r="Z465" s="11"/>
    </row>
    <row r="466">
      <c r="A466" s="18"/>
      <c r="B466" s="11"/>
      <c r="C466" s="11"/>
      <c r="D466" s="11"/>
      <c r="E466" s="11"/>
      <c r="F466" s="11"/>
      <c r="G466" s="11"/>
      <c r="H466" s="11"/>
      <c r="I466" s="11"/>
      <c r="J466" s="11"/>
      <c r="K466" s="11"/>
      <c r="L466" s="15"/>
      <c r="M466" s="15"/>
      <c r="N466" s="15"/>
      <c r="O466" s="15"/>
      <c r="P466" s="15"/>
      <c r="Q466" s="11"/>
      <c r="R466" s="11"/>
      <c r="S466" s="11"/>
      <c r="T466" s="11"/>
      <c r="U466" s="15"/>
      <c r="V466" s="11"/>
      <c r="W466" s="11"/>
      <c r="X466" s="11"/>
      <c r="Y466" s="11"/>
      <c r="Z466" s="11"/>
    </row>
    <row r="467">
      <c r="A467" s="18"/>
      <c r="B467" s="11"/>
      <c r="C467" s="11"/>
      <c r="D467" s="11"/>
      <c r="E467" s="11"/>
      <c r="F467" s="11"/>
      <c r="G467" s="11"/>
      <c r="H467" s="11"/>
      <c r="I467" s="11"/>
      <c r="J467" s="11"/>
      <c r="K467" s="11"/>
      <c r="L467" s="15"/>
      <c r="M467" s="15"/>
      <c r="N467" s="15"/>
      <c r="O467" s="15"/>
      <c r="P467" s="15"/>
      <c r="Q467" s="11"/>
      <c r="R467" s="11"/>
      <c r="S467" s="11"/>
      <c r="T467" s="11"/>
      <c r="U467" s="15"/>
      <c r="V467" s="11"/>
      <c r="W467" s="11"/>
      <c r="X467" s="11"/>
      <c r="Y467" s="11"/>
      <c r="Z467" s="11"/>
    </row>
    <row r="468">
      <c r="A468" s="18"/>
      <c r="B468" s="11"/>
      <c r="C468" s="11"/>
      <c r="D468" s="11"/>
      <c r="E468" s="11"/>
      <c r="F468" s="11"/>
      <c r="G468" s="11"/>
      <c r="H468" s="11"/>
      <c r="I468" s="11"/>
      <c r="J468" s="11"/>
      <c r="K468" s="11"/>
      <c r="L468" s="15"/>
      <c r="M468" s="15"/>
      <c r="N468" s="15"/>
      <c r="O468" s="15"/>
      <c r="P468" s="15"/>
      <c r="Q468" s="11"/>
      <c r="R468" s="11"/>
      <c r="S468" s="11"/>
      <c r="T468" s="11"/>
      <c r="U468" s="15"/>
      <c r="V468" s="11"/>
      <c r="W468" s="11"/>
      <c r="X468" s="11"/>
      <c r="Y468" s="11"/>
      <c r="Z468" s="11"/>
    </row>
    <row r="469">
      <c r="A469" s="18"/>
      <c r="B469" s="11"/>
      <c r="C469" s="11"/>
      <c r="D469" s="11"/>
      <c r="E469" s="11"/>
      <c r="F469" s="11"/>
      <c r="G469" s="11"/>
      <c r="H469" s="11"/>
      <c r="I469" s="11"/>
      <c r="J469" s="11"/>
      <c r="K469" s="11"/>
      <c r="L469" s="15"/>
      <c r="M469" s="15"/>
      <c r="N469" s="15"/>
      <c r="O469" s="15"/>
      <c r="P469" s="15"/>
      <c r="Q469" s="11"/>
      <c r="R469" s="11"/>
      <c r="S469" s="11"/>
      <c r="T469" s="11"/>
      <c r="U469" s="15"/>
      <c r="V469" s="11"/>
      <c r="W469" s="11"/>
      <c r="X469" s="11"/>
      <c r="Y469" s="11"/>
      <c r="Z469" s="11"/>
    </row>
    <row r="470">
      <c r="A470" s="18"/>
      <c r="B470" s="11"/>
      <c r="C470" s="11"/>
      <c r="D470" s="11"/>
      <c r="E470" s="11"/>
      <c r="F470" s="11"/>
      <c r="G470" s="11"/>
      <c r="H470" s="11"/>
      <c r="I470" s="11"/>
      <c r="J470" s="11"/>
      <c r="K470" s="11"/>
      <c r="L470" s="15"/>
      <c r="M470" s="15"/>
      <c r="N470" s="15"/>
      <c r="O470" s="15"/>
      <c r="P470" s="15"/>
      <c r="Q470" s="11"/>
      <c r="R470" s="11"/>
      <c r="S470" s="11"/>
      <c r="T470" s="11"/>
      <c r="U470" s="15"/>
      <c r="V470" s="11"/>
      <c r="W470" s="11"/>
      <c r="X470" s="11"/>
      <c r="Y470" s="11"/>
      <c r="Z470" s="11"/>
    </row>
    <row r="471">
      <c r="A471" s="18"/>
      <c r="B471" s="11"/>
      <c r="C471" s="11"/>
      <c r="D471" s="11"/>
      <c r="E471" s="11"/>
      <c r="F471" s="11"/>
      <c r="G471" s="11"/>
      <c r="H471" s="11"/>
      <c r="I471" s="11"/>
      <c r="J471" s="11"/>
      <c r="K471" s="11"/>
      <c r="L471" s="15"/>
      <c r="M471" s="15"/>
      <c r="N471" s="15"/>
      <c r="O471" s="15"/>
      <c r="P471" s="15"/>
      <c r="Q471" s="11"/>
      <c r="R471" s="11"/>
      <c r="S471" s="11"/>
      <c r="T471" s="11"/>
      <c r="U471" s="15"/>
      <c r="V471" s="11"/>
      <c r="W471" s="11"/>
      <c r="X471" s="11"/>
      <c r="Y471" s="11"/>
      <c r="Z471" s="11"/>
    </row>
    <row r="472">
      <c r="A472" s="18"/>
      <c r="B472" s="11"/>
      <c r="C472" s="11"/>
      <c r="D472" s="11"/>
      <c r="E472" s="11"/>
      <c r="F472" s="11"/>
      <c r="G472" s="11"/>
      <c r="H472" s="11"/>
      <c r="I472" s="11"/>
      <c r="J472" s="11"/>
      <c r="K472" s="11"/>
      <c r="L472" s="15"/>
      <c r="M472" s="15"/>
      <c r="N472" s="15"/>
      <c r="O472" s="15"/>
      <c r="P472" s="15"/>
      <c r="Q472" s="11"/>
      <c r="R472" s="11"/>
      <c r="S472" s="11"/>
      <c r="T472" s="11"/>
      <c r="U472" s="15"/>
      <c r="V472" s="11"/>
      <c r="W472" s="11"/>
      <c r="X472" s="11"/>
      <c r="Y472" s="11"/>
      <c r="Z472" s="11"/>
    </row>
    <row r="473">
      <c r="A473" s="18"/>
      <c r="B473" s="11"/>
      <c r="C473" s="11"/>
      <c r="D473" s="11"/>
      <c r="E473" s="11"/>
      <c r="F473" s="11"/>
      <c r="G473" s="11"/>
      <c r="H473" s="11"/>
      <c r="I473" s="11"/>
      <c r="J473" s="11"/>
      <c r="K473" s="11"/>
      <c r="L473" s="15"/>
      <c r="M473" s="15"/>
      <c r="N473" s="15"/>
      <c r="O473" s="15"/>
      <c r="P473" s="15"/>
      <c r="Q473" s="11"/>
      <c r="R473" s="11"/>
      <c r="S473" s="11"/>
      <c r="T473" s="11"/>
      <c r="U473" s="15"/>
      <c r="V473" s="11"/>
      <c r="W473" s="11"/>
      <c r="X473" s="11"/>
      <c r="Y473" s="11"/>
      <c r="Z473" s="11"/>
    </row>
    <row r="474">
      <c r="A474" s="18"/>
      <c r="B474" s="11"/>
      <c r="C474" s="11"/>
      <c r="D474" s="11"/>
      <c r="E474" s="11"/>
      <c r="F474" s="11"/>
      <c r="G474" s="11"/>
      <c r="H474" s="11"/>
      <c r="I474" s="11"/>
      <c r="J474" s="11"/>
      <c r="K474" s="11"/>
      <c r="L474" s="15"/>
      <c r="M474" s="15"/>
      <c r="N474" s="15"/>
      <c r="O474" s="15"/>
      <c r="P474" s="15"/>
      <c r="Q474" s="11"/>
      <c r="R474" s="11"/>
      <c r="S474" s="11"/>
      <c r="T474" s="11"/>
      <c r="U474" s="15"/>
      <c r="V474" s="11"/>
      <c r="W474" s="11"/>
      <c r="X474" s="11"/>
      <c r="Y474" s="11"/>
      <c r="Z474" s="11"/>
    </row>
    <row r="475">
      <c r="A475" s="18"/>
      <c r="B475" s="11"/>
      <c r="C475" s="11"/>
      <c r="D475" s="11"/>
      <c r="E475" s="11"/>
      <c r="F475" s="11"/>
      <c r="G475" s="11"/>
      <c r="H475" s="11"/>
      <c r="I475" s="11"/>
      <c r="J475" s="11"/>
      <c r="K475" s="11"/>
      <c r="L475" s="15"/>
      <c r="M475" s="15"/>
      <c r="N475" s="15"/>
      <c r="O475" s="15"/>
      <c r="P475" s="15"/>
      <c r="Q475" s="11"/>
      <c r="R475" s="11"/>
      <c r="S475" s="11"/>
      <c r="T475" s="11"/>
      <c r="U475" s="15"/>
      <c r="V475" s="11"/>
      <c r="W475" s="11"/>
      <c r="X475" s="11"/>
      <c r="Y475" s="11"/>
      <c r="Z475" s="11"/>
    </row>
    <row r="476">
      <c r="A476" s="18"/>
      <c r="B476" s="11"/>
      <c r="C476" s="11"/>
      <c r="D476" s="11"/>
      <c r="E476" s="11"/>
      <c r="F476" s="11"/>
      <c r="G476" s="11"/>
      <c r="H476" s="11"/>
      <c r="I476" s="11"/>
      <c r="J476" s="11"/>
      <c r="K476" s="11"/>
      <c r="L476" s="15"/>
      <c r="M476" s="15"/>
      <c r="N476" s="15"/>
      <c r="O476" s="15"/>
      <c r="P476" s="15"/>
      <c r="Q476" s="11"/>
      <c r="R476" s="11"/>
      <c r="S476" s="11"/>
      <c r="T476" s="11"/>
      <c r="U476" s="15"/>
      <c r="V476" s="11"/>
      <c r="W476" s="11"/>
      <c r="X476" s="11"/>
      <c r="Y476" s="11"/>
      <c r="Z476" s="11"/>
    </row>
    <row r="477">
      <c r="A477" s="18"/>
      <c r="B477" s="11"/>
      <c r="C477" s="11"/>
      <c r="D477" s="11"/>
      <c r="E477" s="11"/>
      <c r="F477" s="11"/>
      <c r="G477" s="11"/>
      <c r="H477" s="11"/>
      <c r="I477" s="11"/>
      <c r="J477" s="11"/>
      <c r="K477" s="11"/>
      <c r="L477" s="15"/>
      <c r="M477" s="15"/>
      <c r="N477" s="15"/>
      <c r="O477" s="15"/>
      <c r="P477" s="15"/>
      <c r="Q477" s="11"/>
      <c r="R477" s="11"/>
      <c r="S477" s="11"/>
      <c r="T477" s="11"/>
      <c r="U477" s="15"/>
      <c r="V477" s="11"/>
      <c r="W477" s="11"/>
      <c r="X477" s="11"/>
      <c r="Y477" s="11"/>
      <c r="Z477" s="11"/>
    </row>
    <row r="478">
      <c r="A478" s="18"/>
      <c r="B478" s="11"/>
      <c r="C478" s="11"/>
      <c r="D478" s="11"/>
      <c r="E478" s="11"/>
      <c r="F478" s="11"/>
      <c r="G478" s="11"/>
      <c r="H478" s="11"/>
      <c r="I478" s="11"/>
      <c r="J478" s="11"/>
      <c r="K478" s="11"/>
      <c r="L478" s="15"/>
      <c r="M478" s="15"/>
      <c r="N478" s="15"/>
      <c r="O478" s="15"/>
      <c r="P478" s="15"/>
      <c r="Q478" s="11"/>
      <c r="R478" s="11"/>
      <c r="S478" s="11"/>
      <c r="T478" s="11"/>
      <c r="U478" s="15"/>
      <c r="V478" s="11"/>
      <c r="W478" s="11"/>
      <c r="X478" s="11"/>
      <c r="Y478" s="11"/>
      <c r="Z478" s="11"/>
    </row>
    <row r="479">
      <c r="A479" s="18"/>
      <c r="B479" s="11"/>
      <c r="C479" s="11"/>
      <c r="D479" s="11"/>
      <c r="E479" s="11"/>
      <c r="F479" s="11"/>
      <c r="G479" s="11"/>
      <c r="H479" s="11"/>
      <c r="I479" s="11"/>
      <c r="J479" s="11"/>
      <c r="K479" s="11"/>
      <c r="L479" s="15"/>
      <c r="M479" s="15"/>
      <c r="N479" s="15"/>
      <c r="O479" s="15"/>
      <c r="P479" s="15"/>
      <c r="Q479" s="11"/>
      <c r="R479" s="11"/>
      <c r="S479" s="11"/>
      <c r="T479" s="11"/>
      <c r="U479" s="15"/>
      <c r="V479" s="11"/>
      <c r="W479" s="11"/>
      <c r="X479" s="11"/>
      <c r="Y479" s="11"/>
      <c r="Z479" s="11"/>
    </row>
    <row r="480">
      <c r="A480" s="18"/>
      <c r="B480" s="11"/>
      <c r="C480" s="11"/>
      <c r="D480" s="11"/>
      <c r="E480" s="11"/>
      <c r="F480" s="11"/>
      <c r="G480" s="11"/>
      <c r="H480" s="11"/>
      <c r="I480" s="11"/>
      <c r="J480" s="11"/>
      <c r="K480" s="11"/>
      <c r="L480" s="15"/>
      <c r="M480" s="15"/>
      <c r="N480" s="15"/>
      <c r="O480" s="15"/>
      <c r="P480" s="15"/>
      <c r="Q480" s="11"/>
      <c r="R480" s="11"/>
      <c r="S480" s="11"/>
      <c r="T480" s="11"/>
      <c r="U480" s="15"/>
      <c r="V480" s="11"/>
      <c r="W480" s="11"/>
      <c r="X480" s="11"/>
      <c r="Y480" s="11"/>
      <c r="Z480" s="11"/>
    </row>
    <row r="481">
      <c r="A481" s="18"/>
      <c r="B481" s="11"/>
      <c r="C481" s="11"/>
      <c r="D481" s="11"/>
      <c r="E481" s="11"/>
      <c r="F481" s="11"/>
      <c r="G481" s="11"/>
      <c r="H481" s="11"/>
      <c r="I481" s="11"/>
      <c r="J481" s="11"/>
      <c r="K481" s="11"/>
      <c r="L481" s="15"/>
      <c r="M481" s="15"/>
      <c r="N481" s="15"/>
      <c r="O481" s="15"/>
      <c r="P481" s="15"/>
      <c r="Q481" s="11"/>
      <c r="R481" s="11"/>
      <c r="S481" s="11"/>
      <c r="T481" s="11"/>
      <c r="U481" s="15"/>
      <c r="V481" s="11"/>
      <c r="W481" s="11"/>
      <c r="X481" s="11"/>
      <c r="Y481" s="11"/>
      <c r="Z481" s="11"/>
    </row>
    <row r="482">
      <c r="A482" s="18"/>
      <c r="B482" s="11"/>
      <c r="C482" s="11"/>
      <c r="D482" s="11"/>
      <c r="E482" s="11"/>
      <c r="F482" s="11"/>
      <c r="G482" s="11"/>
      <c r="H482" s="11"/>
      <c r="I482" s="11"/>
      <c r="J482" s="11"/>
      <c r="K482" s="11"/>
      <c r="L482" s="15"/>
      <c r="M482" s="15"/>
      <c r="N482" s="15"/>
      <c r="O482" s="15"/>
      <c r="P482" s="15"/>
      <c r="Q482" s="11"/>
      <c r="R482" s="11"/>
      <c r="S482" s="11"/>
      <c r="T482" s="11"/>
      <c r="U482" s="15"/>
      <c r="V482" s="11"/>
      <c r="W482" s="11"/>
      <c r="X482" s="11"/>
      <c r="Y482" s="11"/>
      <c r="Z482" s="11"/>
    </row>
    <row r="483">
      <c r="A483" s="18"/>
      <c r="B483" s="11"/>
      <c r="C483" s="11"/>
      <c r="D483" s="11"/>
      <c r="E483" s="11"/>
      <c r="F483" s="11"/>
      <c r="G483" s="11"/>
      <c r="H483" s="11"/>
      <c r="I483" s="11"/>
      <c r="J483" s="11"/>
      <c r="K483" s="11"/>
      <c r="L483" s="15"/>
      <c r="M483" s="15"/>
      <c r="N483" s="15"/>
      <c r="O483" s="15"/>
      <c r="P483" s="15"/>
      <c r="Q483" s="11"/>
      <c r="R483" s="11"/>
      <c r="S483" s="11"/>
      <c r="T483" s="11"/>
      <c r="U483" s="15"/>
      <c r="V483" s="11"/>
      <c r="W483" s="11"/>
      <c r="X483" s="11"/>
      <c r="Y483" s="11"/>
      <c r="Z483" s="11"/>
    </row>
    <row r="484">
      <c r="A484" s="18"/>
      <c r="B484" s="11"/>
      <c r="C484" s="11"/>
      <c r="D484" s="11"/>
      <c r="E484" s="11"/>
      <c r="F484" s="11"/>
      <c r="G484" s="11"/>
      <c r="H484" s="11"/>
      <c r="I484" s="11"/>
      <c r="J484" s="11"/>
      <c r="K484" s="11"/>
      <c r="L484" s="15"/>
      <c r="M484" s="15"/>
      <c r="N484" s="15"/>
      <c r="O484" s="15"/>
      <c r="P484" s="15"/>
      <c r="Q484" s="11"/>
      <c r="R484" s="11"/>
      <c r="S484" s="11"/>
      <c r="T484" s="11"/>
      <c r="U484" s="15"/>
      <c r="V484" s="11"/>
      <c r="W484" s="11"/>
      <c r="X484" s="11"/>
      <c r="Y484" s="11"/>
      <c r="Z484" s="11"/>
    </row>
    <row r="485">
      <c r="A485" s="18"/>
      <c r="B485" s="11"/>
      <c r="C485" s="11"/>
      <c r="D485" s="11"/>
      <c r="E485" s="11"/>
      <c r="F485" s="11"/>
      <c r="G485" s="11"/>
      <c r="H485" s="11"/>
      <c r="I485" s="11"/>
      <c r="J485" s="11"/>
      <c r="K485" s="11"/>
      <c r="L485" s="15"/>
      <c r="M485" s="15"/>
      <c r="N485" s="15"/>
      <c r="O485" s="15"/>
      <c r="P485" s="15"/>
      <c r="Q485" s="11"/>
      <c r="R485" s="11"/>
      <c r="S485" s="11"/>
      <c r="T485" s="11"/>
      <c r="U485" s="15"/>
      <c r="V485" s="11"/>
      <c r="W485" s="11"/>
      <c r="X485" s="11"/>
      <c r="Y485" s="11"/>
      <c r="Z485" s="11"/>
    </row>
    <row r="486">
      <c r="A486" s="18"/>
      <c r="B486" s="11"/>
      <c r="C486" s="11"/>
      <c r="D486" s="11"/>
      <c r="E486" s="11"/>
      <c r="F486" s="11"/>
      <c r="G486" s="11"/>
      <c r="H486" s="11"/>
      <c r="I486" s="11"/>
      <c r="J486" s="11"/>
      <c r="K486" s="11"/>
      <c r="L486" s="15"/>
      <c r="M486" s="15"/>
      <c r="N486" s="15"/>
      <c r="O486" s="15"/>
      <c r="P486" s="15"/>
      <c r="Q486" s="11"/>
      <c r="R486" s="11"/>
      <c r="S486" s="11"/>
      <c r="T486" s="11"/>
      <c r="U486" s="15"/>
      <c r="V486" s="11"/>
      <c r="W486" s="11"/>
      <c r="X486" s="11"/>
      <c r="Y486" s="11"/>
      <c r="Z486" s="11"/>
    </row>
    <row r="487">
      <c r="A487" s="18"/>
      <c r="B487" s="11"/>
      <c r="C487" s="11"/>
      <c r="D487" s="11"/>
      <c r="E487" s="11"/>
      <c r="F487" s="11"/>
      <c r="G487" s="11"/>
      <c r="H487" s="11"/>
      <c r="I487" s="11"/>
      <c r="J487" s="11"/>
      <c r="K487" s="11"/>
      <c r="L487" s="15"/>
      <c r="M487" s="15"/>
      <c r="N487" s="15"/>
      <c r="O487" s="15"/>
      <c r="P487" s="15"/>
      <c r="Q487" s="11"/>
      <c r="R487" s="11"/>
      <c r="S487" s="11"/>
      <c r="T487" s="11"/>
      <c r="U487" s="15"/>
      <c r="V487" s="11"/>
      <c r="W487" s="11"/>
      <c r="X487" s="11"/>
      <c r="Y487" s="11"/>
      <c r="Z487" s="11"/>
    </row>
    <row r="488">
      <c r="A488" s="18"/>
      <c r="B488" s="11"/>
      <c r="C488" s="11"/>
      <c r="D488" s="11"/>
      <c r="E488" s="11"/>
      <c r="F488" s="11"/>
      <c r="G488" s="11"/>
      <c r="H488" s="11"/>
      <c r="I488" s="11"/>
      <c r="J488" s="11"/>
      <c r="K488" s="11"/>
      <c r="L488" s="15"/>
      <c r="M488" s="15"/>
      <c r="N488" s="15"/>
      <c r="O488" s="15"/>
      <c r="P488" s="15"/>
      <c r="Q488" s="11"/>
      <c r="R488" s="11"/>
      <c r="S488" s="11"/>
      <c r="T488" s="11"/>
      <c r="U488" s="15"/>
      <c r="V488" s="11"/>
      <c r="W488" s="11"/>
      <c r="X488" s="11"/>
      <c r="Y488" s="11"/>
      <c r="Z488" s="11"/>
    </row>
    <row r="489">
      <c r="A489" s="18"/>
      <c r="B489" s="11"/>
      <c r="C489" s="11"/>
      <c r="D489" s="11"/>
      <c r="E489" s="11"/>
      <c r="F489" s="11"/>
      <c r="G489" s="11"/>
      <c r="H489" s="11"/>
      <c r="I489" s="11"/>
      <c r="J489" s="11"/>
      <c r="K489" s="11"/>
      <c r="L489" s="15"/>
      <c r="M489" s="15"/>
      <c r="N489" s="15"/>
      <c r="O489" s="15"/>
      <c r="P489" s="15"/>
      <c r="Q489" s="11"/>
      <c r="R489" s="11"/>
      <c r="S489" s="11"/>
      <c r="T489" s="11"/>
      <c r="U489" s="15"/>
      <c r="V489" s="11"/>
      <c r="W489" s="11"/>
      <c r="X489" s="11"/>
      <c r="Y489" s="11"/>
      <c r="Z489" s="11"/>
    </row>
    <row r="490">
      <c r="A490" s="18"/>
      <c r="B490" s="11"/>
      <c r="C490" s="11"/>
      <c r="D490" s="11"/>
      <c r="E490" s="11"/>
      <c r="F490" s="11"/>
      <c r="G490" s="11"/>
      <c r="H490" s="11"/>
      <c r="I490" s="11"/>
      <c r="J490" s="11"/>
      <c r="K490" s="11"/>
      <c r="L490" s="15"/>
      <c r="M490" s="15"/>
      <c r="N490" s="15"/>
      <c r="O490" s="15"/>
      <c r="P490" s="15"/>
      <c r="Q490" s="11"/>
      <c r="R490" s="11"/>
      <c r="S490" s="11"/>
      <c r="T490" s="11"/>
      <c r="U490" s="15"/>
      <c r="V490" s="11"/>
      <c r="W490" s="11"/>
      <c r="X490" s="11"/>
      <c r="Y490" s="11"/>
      <c r="Z490" s="11"/>
    </row>
    <row r="491">
      <c r="A491" s="18"/>
      <c r="B491" s="11"/>
      <c r="C491" s="11"/>
      <c r="D491" s="11"/>
      <c r="E491" s="11"/>
      <c r="F491" s="11"/>
      <c r="G491" s="11"/>
      <c r="H491" s="11"/>
      <c r="I491" s="11"/>
      <c r="J491" s="11"/>
      <c r="K491" s="11"/>
      <c r="L491" s="15"/>
      <c r="M491" s="15"/>
      <c r="N491" s="15"/>
      <c r="O491" s="15"/>
      <c r="P491" s="15"/>
      <c r="Q491" s="11"/>
      <c r="R491" s="11"/>
      <c r="S491" s="11"/>
      <c r="T491" s="11"/>
      <c r="U491" s="15"/>
      <c r="V491" s="11"/>
      <c r="W491" s="11"/>
      <c r="X491" s="11"/>
      <c r="Y491" s="11"/>
      <c r="Z491" s="11"/>
    </row>
    <row r="492">
      <c r="A492" s="18"/>
      <c r="B492" s="11"/>
      <c r="C492" s="11"/>
      <c r="D492" s="11"/>
      <c r="E492" s="11"/>
      <c r="F492" s="11"/>
      <c r="G492" s="11"/>
      <c r="H492" s="11"/>
      <c r="I492" s="11"/>
      <c r="J492" s="11"/>
      <c r="K492" s="11"/>
      <c r="L492" s="15"/>
      <c r="M492" s="15"/>
      <c r="N492" s="15"/>
      <c r="O492" s="15"/>
      <c r="P492" s="15"/>
      <c r="Q492" s="11"/>
      <c r="R492" s="11"/>
      <c r="S492" s="11"/>
      <c r="T492" s="11"/>
      <c r="U492" s="15"/>
      <c r="V492" s="11"/>
      <c r="W492" s="11"/>
      <c r="X492" s="11"/>
      <c r="Y492" s="11"/>
      <c r="Z492" s="11"/>
    </row>
    <row r="493">
      <c r="A493" s="18"/>
      <c r="B493" s="11"/>
      <c r="C493" s="11"/>
      <c r="D493" s="11"/>
      <c r="E493" s="11"/>
      <c r="F493" s="11"/>
      <c r="G493" s="11"/>
      <c r="H493" s="11"/>
      <c r="I493" s="11"/>
      <c r="J493" s="11"/>
      <c r="K493" s="11"/>
      <c r="L493" s="15"/>
      <c r="M493" s="15"/>
      <c r="N493" s="15"/>
      <c r="O493" s="15"/>
      <c r="P493" s="15"/>
      <c r="Q493" s="11"/>
      <c r="R493" s="11"/>
      <c r="S493" s="11"/>
      <c r="T493" s="11"/>
      <c r="U493" s="15"/>
      <c r="V493" s="11"/>
      <c r="W493" s="11"/>
      <c r="X493" s="11"/>
      <c r="Y493" s="11"/>
      <c r="Z493" s="11"/>
    </row>
    <row r="494">
      <c r="A494" s="18"/>
      <c r="B494" s="11"/>
      <c r="C494" s="11"/>
      <c r="D494" s="11"/>
      <c r="E494" s="11"/>
      <c r="F494" s="11"/>
      <c r="G494" s="11"/>
      <c r="H494" s="11"/>
      <c r="I494" s="11"/>
      <c r="J494" s="11"/>
      <c r="K494" s="11"/>
      <c r="L494" s="15"/>
      <c r="M494" s="15"/>
      <c r="N494" s="15"/>
      <c r="O494" s="15"/>
      <c r="P494" s="15"/>
      <c r="Q494" s="11"/>
      <c r="R494" s="11"/>
      <c r="S494" s="11"/>
      <c r="T494" s="11"/>
      <c r="U494" s="15"/>
      <c r="V494" s="11"/>
      <c r="W494" s="11"/>
      <c r="X494" s="11"/>
      <c r="Y494" s="11"/>
      <c r="Z494" s="11"/>
    </row>
    <row r="495">
      <c r="A495" s="18"/>
      <c r="B495" s="11"/>
      <c r="C495" s="11"/>
      <c r="D495" s="11"/>
      <c r="E495" s="11"/>
      <c r="F495" s="11"/>
      <c r="G495" s="11"/>
      <c r="H495" s="11"/>
      <c r="I495" s="11"/>
      <c r="J495" s="11"/>
      <c r="K495" s="11"/>
      <c r="L495" s="15"/>
      <c r="M495" s="15"/>
      <c r="N495" s="15"/>
      <c r="O495" s="15"/>
      <c r="P495" s="15"/>
      <c r="Q495" s="11"/>
      <c r="R495" s="11"/>
      <c r="S495" s="11"/>
      <c r="T495" s="11"/>
      <c r="U495" s="15"/>
      <c r="V495" s="11"/>
      <c r="W495" s="11"/>
      <c r="X495" s="11"/>
      <c r="Y495" s="11"/>
      <c r="Z495" s="11"/>
    </row>
    <row r="496">
      <c r="A496" s="18"/>
      <c r="B496" s="11"/>
      <c r="C496" s="11"/>
      <c r="D496" s="11"/>
      <c r="E496" s="11"/>
      <c r="F496" s="11"/>
      <c r="G496" s="11"/>
      <c r="H496" s="11"/>
      <c r="I496" s="11"/>
      <c r="J496" s="11"/>
      <c r="K496" s="11"/>
      <c r="L496" s="15"/>
      <c r="M496" s="15"/>
      <c r="N496" s="15"/>
      <c r="O496" s="15"/>
      <c r="P496" s="15"/>
      <c r="Q496" s="11"/>
      <c r="R496" s="11"/>
      <c r="S496" s="11"/>
      <c r="T496" s="11"/>
      <c r="U496" s="15"/>
      <c r="V496" s="11"/>
      <c r="W496" s="11"/>
      <c r="X496" s="11"/>
      <c r="Y496" s="11"/>
      <c r="Z496" s="11"/>
    </row>
    <row r="497">
      <c r="A497" s="18"/>
      <c r="B497" s="11"/>
      <c r="C497" s="11"/>
      <c r="D497" s="11"/>
      <c r="E497" s="11"/>
      <c r="F497" s="11"/>
      <c r="G497" s="11"/>
      <c r="H497" s="11"/>
      <c r="I497" s="11"/>
      <c r="J497" s="11"/>
      <c r="K497" s="11"/>
      <c r="L497" s="15"/>
      <c r="M497" s="15"/>
      <c r="N497" s="15"/>
      <c r="O497" s="15"/>
      <c r="P497" s="15"/>
      <c r="Q497" s="11"/>
      <c r="R497" s="11"/>
      <c r="S497" s="11"/>
      <c r="T497" s="11"/>
      <c r="U497" s="15"/>
      <c r="V497" s="11"/>
      <c r="W497" s="11"/>
      <c r="X497" s="11"/>
      <c r="Y497" s="11"/>
      <c r="Z497" s="11"/>
    </row>
    <row r="498">
      <c r="A498" s="18"/>
      <c r="B498" s="11"/>
      <c r="C498" s="11"/>
      <c r="D498" s="11"/>
      <c r="E498" s="11"/>
      <c r="F498" s="11"/>
      <c r="G498" s="11"/>
      <c r="H498" s="11"/>
      <c r="I498" s="11"/>
      <c r="J498" s="11"/>
      <c r="K498" s="11"/>
      <c r="L498" s="15"/>
      <c r="M498" s="15"/>
      <c r="N498" s="15"/>
      <c r="O498" s="15"/>
      <c r="P498" s="15"/>
      <c r="Q498" s="11"/>
      <c r="R498" s="11"/>
      <c r="S498" s="11"/>
      <c r="T498" s="11"/>
      <c r="U498" s="15"/>
      <c r="V498" s="11"/>
      <c r="W498" s="11"/>
      <c r="X498" s="11"/>
      <c r="Y498" s="11"/>
      <c r="Z498" s="11"/>
    </row>
    <row r="499">
      <c r="A499" s="18"/>
      <c r="B499" s="11"/>
      <c r="C499" s="11"/>
      <c r="D499" s="11"/>
      <c r="E499" s="11"/>
      <c r="F499" s="11"/>
      <c r="G499" s="11"/>
      <c r="H499" s="11"/>
      <c r="I499" s="11"/>
      <c r="J499" s="11"/>
      <c r="K499" s="11"/>
      <c r="L499" s="15"/>
      <c r="M499" s="15"/>
      <c r="N499" s="15"/>
      <c r="O499" s="15"/>
      <c r="P499" s="15"/>
      <c r="Q499" s="11"/>
      <c r="R499" s="11"/>
      <c r="S499" s="11"/>
      <c r="T499" s="11"/>
      <c r="U499" s="15"/>
      <c r="V499" s="11"/>
      <c r="W499" s="11"/>
      <c r="X499" s="11"/>
      <c r="Y499" s="11"/>
      <c r="Z499" s="11"/>
    </row>
    <row r="500">
      <c r="A500" s="18"/>
      <c r="B500" s="11"/>
      <c r="C500" s="11"/>
      <c r="D500" s="11"/>
      <c r="E500" s="11"/>
      <c r="F500" s="11"/>
      <c r="G500" s="11"/>
      <c r="H500" s="11"/>
      <c r="I500" s="11"/>
      <c r="J500" s="11"/>
      <c r="K500" s="11"/>
      <c r="L500" s="15"/>
      <c r="M500" s="15"/>
      <c r="N500" s="15"/>
      <c r="O500" s="15"/>
      <c r="P500" s="15"/>
      <c r="Q500" s="11"/>
      <c r="R500" s="11"/>
      <c r="S500" s="11"/>
      <c r="T500" s="11"/>
      <c r="U500" s="15"/>
      <c r="V500" s="11"/>
      <c r="W500" s="11"/>
      <c r="X500" s="11"/>
      <c r="Y500" s="11"/>
      <c r="Z500" s="11"/>
    </row>
    <row r="501">
      <c r="A501" s="18"/>
      <c r="B501" s="11"/>
      <c r="C501" s="11"/>
      <c r="D501" s="11"/>
      <c r="E501" s="11"/>
      <c r="F501" s="11"/>
      <c r="G501" s="11"/>
      <c r="H501" s="11"/>
      <c r="I501" s="11"/>
      <c r="J501" s="11"/>
      <c r="K501" s="11"/>
      <c r="L501" s="15"/>
      <c r="M501" s="15"/>
      <c r="N501" s="15"/>
      <c r="O501" s="15"/>
      <c r="P501" s="15"/>
      <c r="Q501" s="11"/>
      <c r="R501" s="11"/>
      <c r="S501" s="11"/>
      <c r="T501" s="11"/>
      <c r="U501" s="15"/>
      <c r="V501" s="11"/>
      <c r="W501" s="11"/>
      <c r="X501" s="11"/>
      <c r="Y501" s="11"/>
      <c r="Z501" s="11"/>
    </row>
    <row r="502">
      <c r="A502" s="18"/>
      <c r="B502" s="11"/>
      <c r="C502" s="11"/>
      <c r="D502" s="11"/>
      <c r="E502" s="11"/>
      <c r="F502" s="11"/>
      <c r="G502" s="11"/>
      <c r="H502" s="11"/>
      <c r="I502" s="11"/>
      <c r="J502" s="11"/>
      <c r="K502" s="11"/>
      <c r="L502" s="15"/>
      <c r="M502" s="15"/>
      <c r="N502" s="15"/>
      <c r="O502" s="15"/>
      <c r="P502" s="15"/>
      <c r="Q502" s="11"/>
      <c r="R502" s="11"/>
      <c r="S502" s="11"/>
      <c r="T502" s="11"/>
      <c r="U502" s="15"/>
      <c r="V502" s="11"/>
      <c r="W502" s="11"/>
      <c r="X502" s="11"/>
      <c r="Y502" s="11"/>
      <c r="Z502" s="11"/>
    </row>
    <row r="503">
      <c r="A503" s="18"/>
      <c r="B503" s="11"/>
      <c r="C503" s="11"/>
      <c r="D503" s="11"/>
      <c r="E503" s="11"/>
      <c r="F503" s="11"/>
      <c r="G503" s="11"/>
      <c r="H503" s="11"/>
      <c r="I503" s="11"/>
      <c r="J503" s="11"/>
      <c r="K503" s="11"/>
      <c r="L503" s="15"/>
      <c r="M503" s="15"/>
      <c r="N503" s="15"/>
      <c r="O503" s="15"/>
      <c r="P503" s="15"/>
      <c r="Q503" s="11"/>
      <c r="R503" s="11"/>
      <c r="S503" s="11"/>
      <c r="T503" s="11"/>
      <c r="U503" s="15"/>
      <c r="V503" s="11"/>
      <c r="W503" s="11"/>
      <c r="X503" s="11"/>
      <c r="Y503" s="11"/>
      <c r="Z503" s="11"/>
    </row>
    <row r="504">
      <c r="A504" s="18"/>
      <c r="B504" s="11"/>
      <c r="C504" s="11"/>
      <c r="D504" s="11"/>
      <c r="E504" s="11"/>
      <c r="F504" s="11"/>
      <c r="G504" s="11"/>
      <c r="H504" s="11"/>
      <c r="I504" s="11"/>
      <c r="J504" s="11"/>
      <c r="K504" s="11"/>
      <c r="L504" s="15"/>
      <c r="M504" s="15"/>
      <c r="N504" s="15"/>
      <c r="O504" s="15"/>
      <c r="P504" s="15"/>
      <c r="Q504" s="11"/>
      <c r="R504" s="11"/>
      <c r="S504" s="11"/>
      <c r="T504" s="11"/>
      <c r="U504" s="15"/>
      <c r="V504" s="11"/>
      <c r="W504" s="11"/>
      <c r="X504" s="11"/>
      <c r="Y504" s="11"/>
      <c r="Z504" s="11"/>
    </row>
    <row r="505">
      <c r="A505" s="18"/>
      <c r="B505" s="11"/>
      <c r="C505" s="11"/>
      <c r="D505" s="11"/>
      <c r="E505" s="11"/>
      <c r="F505" s="11"/>
      <c r="G505" s="11"/>
      <c r="H505" s="11"/>
      <c r="I505" s="11"/>
      <c r="J505" s="11"/>
      <c r="K505" s="11"/>
      <c r="L505" s="15"/>
      <c r="M505" s="15"/>
      <c r="N505" s="15"/>
      <c r="O505" s="15"/>
      <c r="P505" s="15"/>
      <c r="Q505" s="11"/>
      <c r="R505" s="11"/>
      <c r="S505" s="11"/>
      <c r="T505" s="11"/>
      <c r="U505" s="15"/>
      <c r="V505" s="11"/>
      <c r="W505" s="11"/>
      <c r="X505" s="11"/>
      <c r="Y505" s="11"/>
      <c r="Z505" s="11"/>
    </row>
    <row r="506">
      <c r="A506" s="18"/>
      <c r="B506" s="11"/>
      <c r="C506" s="11"/>
      <c r="D506" s="11"/>
      <c r="E506" s="11"/>
      <c r="F506" s="11"/>
      <c r="G506" s="11"/>
      <c r="H506" s="11"/>
      <c r="I506" s="11"/>
      <c r="J506" s="11"/>
      <c r="K506" s="11"/>
      <c r="L506" s="15"/>
      <c r="M506" s="15"/>
      <c r="N506" s="15"/>
      <c r="O506" s="15"/>
      <c r="P506" s="15"/>
      <c r="Q506" s="11"/>
      <c r="R506" s="11"/>
      <c r="S506" s="11"/>
      <c r="T506" s="11"/>
      <c r="U506" s="15"/>
      <c r="V506" s="11"/>
      <c r="W506" s="11"/>
      <c r="X506" s="11"/>
      <c r="Y506" s="11"/>
      <c r="Z506" s="11"/>
    </row>
    <row r="507">
      <c r="A507" s="18"/>
      <c r="B507" s="11"/>
      <c r="C507" s="11"/>
      <c r="D507" s="11"/>
      <c r="E507" s="11"/>
      <c r="F507" s="11"/>
      <c r="G507" s="11"/>
      <c r="H507" s="11"/>
      <c r="I507" s="11"/>
      <c r="J507" s="11"/>
      <c r="K507" s="11"/>
      <c r="L507" s="15"/>
      <c r="M507" s="15"/>
      <c r="N507" s="15"/>
      <c r="O507" s="15"/>
      <c r="P507" s="15"/>
      <c r="Q507" s="11"/>
      <c r="R507" s="11"/>
      <c r="S507" s="11"/>
      <c r="T507" s="11"/>
      <c r="U507" s="15"/>
      <c r="V507" s="11"/>
      <c r="W507" s="11"/>
      <c r="X507" s="11"/>
      <c r="Y507" s="11"/>
      <c r="Z507" s="11"/>
    </row>
    <row r="508">
      <c r="A508" s="18"/>
      <c r="B508" s="11"/>
      <c r="C508" s="11"/>
      <c r="D508" s="11"/>
      <c r="E508" s="11"/>
      <c r="F508" s="11"/>
      <c r="G508" s="11"/>
      <c r="H508" s="11"/>
      <c r="I508" s="11"/>
      <c r="J508" s="11"/>
      <c r="K508" s="11"/>
      <c r="L508" s="15"/>
      <c r="M508" s="15"/>
      <c r="N508" s="15"/>
      <c r="O508" s="15"/>
      <c r="P508" s="15"/>
      <c r="Q508" s="11"/>
      <c r="R508" s="11"/>
      <c r="S508" s="11"/>
      <c r="T508" s="11"/>
      <c r="U508" s="15"/>
      <c r="V508" s="11"/>
      <c r="W508" s="11"/>
      <c r="X508" s="11"/>
      <c r="Y508" s="11"/>
      <c r="Z508" s="11"/>
    </row>
    <row r="509">
      <c r="A509" s="18"/>
      <c r="B509" s="11"/>
      <c r="C509" s="11"/>
      <c r="D509" s="11"/>
      <c r="E509" s="11"/>
      <c r="F509" s="11"/>
      <c r="G509" s="11"/>
      <c r="H509" s="11"/>
      <c r="I509" s="11"/>
      <c r="J509" s="11"/>
      <c r="K509" s="11"/>
      <c r="L509" s="15"/>
      <c r="M509" s="15"/>
      <c r="N509" s="15"/>
      <c r="O509" s="15"/>
      <c r="P509" s="15"/>
      <c r="Q509" s="11"/>
      <c r="R509" s="11"/>
      <c r="S509" s="11"/>
      <c r="T509" s="11"/>
      <c r="U509" s="15"/>
      <c r="V509" s="11"/>
      <c r="W509" s="11"/>
      <c r="X509" s="11"/>
      <c r="Y509" s="11"/>
      <c r="Z509" s="11"/>
    </row>
    <row r="510">
      <c r="A510" s="18"/>
      <c r="B510" s="11"/>
      <c r="C510" s="11"/>
      <c r="D510" s="11"/>
      <c r="E510" s="11"/>
      <c r="F510" s="11"/>
      <c r="G510" s="11"/>
      <c r="H510" s="11"/>
      <c r="I510" s="11"/>
      <c r="J510" s="11"/>
      <c r="K510" s="11"/>
      <c r="L510" s="15"/>
      <c r="M510" s="15"/>
      <c r="N510" s="15"/>
      <c r="O510" s="15"/>
      <c r="P510" s="15"/>
      <c r="Q510" s="11"/>
      <c r="R510" s="11"/>
      <c r="S510" s="11"/>
      <c r="T510" s="11"/>
      <c r="U510" s="15"/>
      <c r="V510" s="11"/>
      <c r="W510" s="11"/>
      <c r="X510" s="11"/>
      <c r="Y510" s="11"/>
      <c r="Z510" s="11"/>
    </row>
    <row r="511">
      <c r="A511" s="18"/>
      <c r="B511" s="11"/>
      <c r="C511" s="11"/>
      <c r="D511" s="11"/>
      <c r="E511" s="11"/>
      <c r="F511" s="11"/>
      <c r="G511" s="11"/>
      <c r="H511" s="11"/>
      <c r="I511" s="11"/>
      <c r="J511" s="11"/>
      <c r="K511" s="11"/>
      <c r="L511" s="15"/>
      <c r="M511" s="15"/>
      <c r="N511" s="15"/>
      <c r="O511" s="15"/>
      <c r="P511" s="15"/>
      <c r="Q511" s="11"/>
      <c r="R511" s="11"/>
      <c r="S511" s="11"/>
      <c r="T511" s="11"/>
      <c r="U511" s="15"/>
      <c r="V511" s="11"/>
      <c r="W511" s="11"/>
      <c r="X511" s="11"/>
      <c r="Y511" s="11"/>
      <c r="Z511" s="11"/>
    </row>
    <row r="512">
      <c r="A512" s="18"/>
      <c r="B512" s="11"/>
      <c r="C512" s="11"/>
      <c r="D512" s="11"/>
      <c r="E512" s="11"/>
      <c r="F512" s="11"/>
      <c r="G512" s="11"/>
      <c r="H512" s="11"/>
      <c r="I512" s="11"/>
      <c r="J512" s="11"/>
      <c r="K512" s="11"/>
      <c r="L512" s="15"/>
      <c r="M512" s="15"/>
      <c r="N512" s="15"/>
      <c r="O512" s="15"/>
      <c r="P512" s="15"/>
      <c r="Q512" s="11"/>
      <c r="R512" s="11"/>
      <c r="S512" s="11"/>
      <c r="T512" s="11"/>
      <c r="U512" s="15"/>
      <c r="V512" s="11"/>
      <c r="W512" s="11"/>
      <c r="X512" s="11"/>
      <c r="Y512" s="11"/>
      <c r="Z512" s="11"/>
    </row>
    <row r="513">
      <c r="A513" s="18"/>
      <c r="B513" s="11"/>
      <c r="C513" s="11"/>
      <c r="D513" s="11"/>
      <c r="E513" s="11"/>
      <c r="F513" s="11"/>
      <c r="G513" s="11"/>
      <c r="H513" s="11"/>
      <c r="I513" s="11"/>
      <c r="J513" s="11"/>
      <c r="K513" s="11"/>
      <c r="L513" s="15"/>
      <c r="M513" s="15"/>
      <c r="N513" s="15"/>
      <c r="O513" s="15"/>
      <c r="P513" s="15"/>
      <c r="Q513" s="11"/>
      <c r="R513" s="11"/>
      <c r="S513" s="11"/>
      <c r="T513" s="11"/>
      <c r="U513" s="15"/>
      <c r="V513" s="11"/>
      <c r="W513" s="11"/>
      <c r="X513" s="11"/>
      <c r="Y513" s="11"/>
      <c r="Z513" s="11"/>
    </row>
    <row r="514">
      <c r="A514" s="18"/>
      <c r="B514" s="11"/>
      <c r="C514" s="11"/>
      <c r="D514" s="11"/>
      <c r="E514" s="11"/>
      <c r="F514" s="11"/>
      <c r="G514" s="11"/>
      <c r="H514" s="11"/>
      <c r="I514" s="11"/>
      <c r="J514" s="11"/>
      <c r="K514" s="11"/>
      <c r="L514" s="15"/>
      <c r="M514" s="15"/>
      <c r="N514" s="15"/>
      <c r="O514" s="15"/>
      <c r="P514" s="15"/>
      <c r="Q514" s="11"/>
      <c r="R514" s="11"/>
      <c r="S514" s="11"/>
      <c r="T514" s="11"/>
      <c r="U514" s="15"/>
      <c r="V514" s="11"/>
      <c r="W514" s="11"/>
      <c r="X514" s="11"/>
      <c r="Y514" s="11"/>
      <c r="Z514" s="11"/>
    </row>
    <row r="515">
      <c r="A515" s="18"/>
      <c r="B515" s="11"/>
      <c r="C515" s="11"/>
      <c r="D515" s="11"/>
      <c r="E515" s="11"/>
      <c r="F515" s="11"/>
      <c r="G515" s="11"/>
      <c r="H515" s="11"/>
      <c r="I515" s="11"/>
      <c r="J515" s="11"/>
      <c r="K515" s="11"/>
      <c r="L515" s="15"/>
      <c r="M515" s="15"/>
      <c r="N515" s="15"/>
      <c r="O515" s="15"/>
      <c r="P515" s="15"/>
      <c r="Q515" s="11"/>
      <c r="R515" s="11"/>
      <c r="S515" s="11"/>
      <c r="T515" s="11"/>
      <c r="U515" s="15"/>
      <c r="V515" s="11"/>
      <c r="W515" s="11"/>
      <c r="X515" s="11"/>
      <c r="Y515" s="11"/>
      <c r="Z515" s="11"/>
    </row>
    <row r="516">
      <c r="A516" s="18"/>
      <c r="B516" s="11"/>
      <c r="C516" s="11"/>
      <c r="D516" s="11"/>
      <c r="E516" s="11"/>
      <c r="F516" s="11"/>
      <c r="G516" s="11"/>
      <c r="H516" s="11"/>
      <c r="I516" s="11"/>
      <c r="J516" s="11"/>
      <c r="K516" s="11"/>
      <c r="L516" s="15"/>
      <c r="M516" s="15"/>
      <c r="N516" s="15"/>
      <c r="O516" s="15"/>
      <c r="P516" s="15"/>
      <c r="Q516" s="11"/>
      <c r="R516" s="11"/>
      <c r="S516" s="11"/>
      <c r="T516" s="11"/>
      <c r="U516" s="15"/>
      <c r="V516" s="11"/>
      <c r="W516" s="11"/>
      <c r="X516" s="11"/>
      <c r="Y516" s="11"/>
      <c r="Z516" s="11"/>
    </row>
    <row r="517">
      <c r="A517" s="18"/>
      <c r="B517" s="11"/>
      <c r="C517" s="11"/>
      <c r="D517" s="11"/>
      <c r="E517" s="11"/>
      <c r="F517" s="11"/>
      <c r="G517" s="11"/>
      <c r="H517" s="11"/>
      <c r="I517" s="11"/>
      <c r="J517" s="11"/>
      <c r="K517" s="11"/>
      <c r="L517" s="15"/>
      <c r="M517" s="15"/>
      <c r="N517" s="15"/>
      <c r="O517" s="15"/>
      <c r="P517" s="15"/>
      <c r="Q517" s="11"/>
      <c r="R517" s="11"/>
      <c r="S517" s="11"/>
      <c r="T517" s="11"/>
      <c r="U517" s="15"/>
      <c r="V517" s="11"/>
      <c r="W517" s="11"/>
      <c r="X517" s="11"/>
      <c r="Y517" s="11"/>
      <c r="Z517" s="11"/>
    </row>
    <row r="518">
      <c r="A518" s="18"/>
      <c r="B518" s="11"/>
      <c r="C518" s="11"/>
      <c r="D518" s="11"/>
      <c r="E518" s="11"/>
      <c r="F518" s="11"/>
      <c r="G518" s="11"/>
      <c r="H518" s="11"/>
      <c r="I518" s="11"/>
      <c r="J518" s="11"/>
      <c r="K518" s="11"/>
      <c r="L518" s="15"/>
      <c r="M518" s="15"/>
      <c r="N518" s="15"/>
      <c r="O518" s="15"/>
      <c r="P518" s="15"/>
      <c r="Q518" s="11"/>
      <c r="R518" s="11"/>
      <c r="S518" s="11"/>
      <c r="T518" s="11"/>
      <c r="U518" s="15"/>
      <c r="V518" s="11"/>
      <c r="W518" s="11"/>
      <c r="X518" s="11"/>
      <c r="Y518" s="11"/>
      <c r="Z518" s="11"/>
    </row>
    <row r="519">
      <c r="A519" s="18"/>
      <c r="B519" s="11"/>
      <c r="C519" s="11"/>
      <c r="D519" s="11"/>
      <c r="E519" s="11"/>
      <c r="F519" s="11"/>
      <c r="G519" s="11"/>
      <c r="H519" s="11"/>
      <c r="I519" s="11"/>
      <c r="J519" s="11"/>
      <c r="K519" s="11"/>
      <c r="L519" s="15"/>
      <c r="M519" s="15"/>
      <c r="N519" s="15"/>
      <c r="O519" s="15"/>
      <c r="P519" s="15"/>
      <c r="Q519" s="11"/>
      <c r="R519" s="11"/>
      <c r="S519" s="11"/>
      <c r="T519" s="11"/>
      <c r="U519" s="15"/>
      <c r="V519" s="11"/>
      <c r="W519" s="11"/>
      <c r="X519" s="11"/>
      <c r="Y519" s="11"/>
      <c r="Z519" s="11"/>
    </row>
    <row r="520">
      <c r="A520" s="18"/>
      <c r="B520" s="11"/>
      <c r="C520" s="11"/>
      <c r="D520" s="11"/>
      <c r="E520" s="11"/>
      <c r="F520" s="11"/>
      <c r="G520" s="11"/>
      <c r="H520" s="11"/>
      <c r="I520" s="11"/>
      <c r="J520" s="11"/>
      <c r="K520" s="11"/>
      <c r="L520" s="15"/>
      <c r="M520" s="15"/>
      <c r="N520" s="15"/>
      <c r="O520" s="15"/>
      <c r="P520" s="15"/>
      <c r="Q520" s="11"/>
      <c r="R520" s="11"/>
      <c r="S520" s="11"/>
      <c r="T520" s="11"/>
      <c r="U520" s="15"/>
      <c r="V520" s="11"/>
      <c r="W520" s="11"/>
      <c r="X520" s="11"/>
      <c r="Y520" s="11"/>
      <c r="Z520" s="11"/>
    </row>
    <row r="521">
      <c r="A521" s="18"/>
      <c r="B521" s="11"/>
      <c r="C521" s="11"/>
      <c r="D521" s="11"/>
      <c r="E521" s="11"/>
      <c r="F521" s="11"/>
      <c r="G521" s="11"/>
      <c r="H521" s="11"/>
      <c r="I521" s="11"/>
      <c r="J521" s="11"/>
      <c r="K521" s="11"/>
      <c r="L521" s="15"/>
      <c r="M521" s="15"/>
      <c r="N521" s="15"/>
      <c r="O521" s="15"/>
      <c r="P521" s="15"/>
      <c r="Q521" s="11"/>
      <c r="R521" s="11"/>
      <c r="S521" s="11"/>
      <c r="T521" s="11"/>
      <c r="U521" s="15"/>
      <c r="V521" s="11"/>
      <c r="W521" s="11"/>
      <c r="X521" s="11"/>
      <c r="Y521" s="11"/>
      <c r="Z521" s="11"/>
    </row>
    <row r="522">
      <c r="A522" s="18"/>
      <c r="B522" s="11"/>
      <c r="C522" s="11"/>
      <c r="D522" s="11"/>
      <c r="E522" s="11"/>
      <c r="F522" s="11"/>
      <c r="G522" s="11"/>
      <c r="H522" s="11"/>
      <c r="I522" s="11"/>
      <c r="J522" s="11"/>
      <c r="K522" s="11"/>
      <c r="L522" s="15"/>
      <c r="M522" s="15"/>
      <c r="N522" s="15"/>
      <c r="O522" s="15"/>
      <c r="P522" s="15"/>
      <c r="Q522" s="11"/>
      <c r="R522" s="11"/>
      <c r="S522" s="11"/>
      <c r="T522" s="11"/>
      <c r="U522" s="15"/>
      <c r="V522" s="11"/>
      <c r="W522" s="11"/>
      <c r="X522" s="11"/>
      <c r="Y522" s="11"/>
      <c r="Z522" s="11"/>
    </row>
    <row r="523">
      <c r="A523" s="18"/>
      <c r="B523" s="11"/>
      <c r="C523" s="11"/>
      <c r="D523" s="11"/>
      <c r="E523" s="11"/>
      <c r="F523" s="11"/>
      <c r="G523" s="11"/>
      <c r="H523" s="11"/>
      <c r="I523" s="11"/>
      <c r="J523" s="11"/>
      <c r="K523" s="11"/>
      <c r="L523" s="15"/>
      <c r="M523" s="15"/>
      <c r="N523" s="15"/>
      <c r="O523" s="15"/>
      <c r="P523" s="15"/>
      <c r="Q523" s="11"/>
      <c r="R523" s="11"/>
      <c r="S523" s="11"/>
      <c r="T523" s="11"/>
      <c r="U523" s="15"/>
      <c r="V523" s="11"/>
      <c r="W523" s="11"/>
      <c r="X523" s="11"/>
      <c r="Y523" s="11"/>
      <c r="Z523" s="11"/>
    </row>
    <row r="524">
      <c r="A524" s="18"/>
      <c r="B524" s="11"/>
      <c r="C524" s="11"/>
      <c r="D524" s="11"/>
      <c r="E524" s="11"/>
      <c r="F524" s="11"/>
      <c r="G524" s="11"/>
      <c r="H524" s="11"/>
      <c r="I524" s="11"/>
      <c r="J524" s="11"/>
      <c r="K524" s="11"/>
      <c r="L524" s="15"/>
      <c r="M524" s="15"/>
      <c r="N524" s="15"/>
      <c r="O524" s="15"/>
      <c r="P524" s="15"/>
      <c r="Q524" s="11"/>
      <c r="R524" s="11"/>
      <c r="S524" s="11"/>
      <c r="T524" s="11"/>
      <c r="U524" s="15"/>
      <c r="V524" s="11"/>
      <c r="W524" s="11"/>
      <c r="X524" s="11"/>
      <c r="Y524" s="11"/>
      <c r="Z524" s="11"/>
    </row>
    <row r="525">
      <c r="A525" s="18"/>
      <c r="B525" s="11"/>
      <c r="C525" s="11"/>
      <c r="D525" s="11"/>
      <c r="E525" s="11"/>
      <c r="F525" s="11"/>
      <c r="G525" s="11"/>
      <c r="H525" s="11"/>
      <c r="I525" s="11"/>
      <c r="J525" s="11"/>
      <c r="K525" s="11"/>
      <c r="L525" s="15"/>
      <c r="M525" s="15"/>
      <c r="N525" s="15"/>
      <c r="O525" s="15"/>
      <c r="P525" s="15"/>
      <c r="Q525" s="11"/>
      <c r="R525" s="11"/>
      <c r="S525" s="11"/>
      <c r="T525" s="11"/>
      <c r="U525" s="15"/>
      <c r="V525" s="11"/>
      <c r="W525" s="11"/>
      <c r="X525" s="11"/>
      <c r="Y525" s="11"/>
      <c r="Z525" s="11"/>
    </row>
    <row r="526">
      <c r="A526" s="18"/>
      <c r="B526" s="11"/>
      <c r="C526" s="11"/>
      <c r="D526" s="11"/>
      <c r="E526" s="11"/>
      <c r="F526" s="11"/>
      <c r="G526" s="11"/>
      <c r="H526" s="11"/>
      <c r="I526" s="11"/>
      <c r="J526" s="11"/>
      <c r="K526" s="11"/>
      <c r="L526" s="15"/>
      <c r="M526" s="15"/>
      <c r="N526" s="15"/>
      <c r="O526" s="15"/>
      <c r="P526" s="15"/>
      <c r="Q526" s="11"/>
      <c r="R526" s="11"/>
      <c r="S526" s="11"/>
      <c r="T526" s="11"/>
      <c r="U526" s="15"/>
      <c r="V526" s="11"/>
      <c r="W526" s="11"/>
      <c r="X526" s="11"/>
      <c r="Y526" s="11"/>
      <c r="Z526" s="11"/>
    </row>
    <row r="527">
      <c r="A527" s="18"/>
      <c r="B527" s="11"/>
      <c r="C527" s="11"/>
      <c r="D527" s="11"/>
      <c r="E527" s="11"/>
      <c r="F527" s="11"/>
      <c r="G527" s="11"/>
      <c r="H527" s="11"/>
      <c r="I527" s="11"/>
      <c r="J527" s="11"/>
      <c r="K527" s="11"/>
      <c r="L527" s="15"/>
      <c r="M527" s="15"/>
      <c r="N527" s="15"/>
      <c r="O527" s="15"/>
      <c r="P527" s="15"/>
      <c r="Q527" s="11"/>
      <c r="R527" s="11"/>
      <c r="S527" s="11"/>
      <c r="T527" s="11"/>
      <c r="U527" s="15"/>
      <c r="V527" s="11"/>
      <c r="W527" s="11"/>
      <c r="X527" s="11"/>
      <c r="Y527" s="11"/>
      <c r="Z527" s="11"/>
    </row>
    <row r="528">
      <c r="A528" s="18"/>
      <c r="B528" s="11"/>
      <c r="C528" s="11"/>
      <c r="D528" s="11"/>
      <c r="E528" s="11"/>
      <c r="F528" s="11"/>
      <c r="G528" s="11"/>
      <c r="H528" s="11"/>
      <c r="I528" s="11"/>
      <c r="J528" s="11"/>
      <c r="K528" s="11"/>
      <c r="L528" s="15"/>
      <c r="M528" s="15"/>
      <c r="N528" s="15"/>
      <c r="O528" s="15"/>
      <c r="P528" s="15"/>
      <c r="Q528" s="11"/>
      <c r="R528" s="11"/>
      <c r="S528" s="11"/>
      <c r="T528" s="11"/>
      <c r="U528" s="15"/>
      <c r="V528" s="11"/>
      <c r="W528" s="11"/>
      <c r="X528" s="11"/>
      <c r="Y528" s="11"/>
      <c r="Z528" s="11"/>
    </row>
    <row r="529">
      <c r="A529" s="18"/>
      <c r="B529" s="11"/>
      <c r="C529" s="11"/>
      <c r="D529" s="11"/>
      <c r="E529" s="11"/>
      <c r="F529" s="11"/>
      <c r="G529" s="11"/>
      <c r="H529" s="11"/>
      <c r="I529" s="11"/>
      <c r="J529" s="11"/>
      <c r="K529" s="11"/>
      <c r="L529" s="15"/>
      <c r="M529" s="15"/>
      <c r="N529" s="15"/>
      <c r="O529" s="15"/>
      <c r="P529" s="15"/>
      <c r="Q529" s="11"/>
      <c r="R529" s="11"/>
      <c r="S529" s="11"/>
      <c r="T529" s="11"/>
      <c r="U529" s="15"/>
      <c r="V529" s="11"/>
      <c r="W529" s="11"/>
      <c r="X529" s="11"/>
      <c r="Y529" s="11"/>
      <c r="Z529" s="11"/>
    </row>
    <row r="530">
      <c r="A530" s="18"/>
      <c r="B530" s="11"/>
      <c r="C530" s="11"/>
      <c r="D530" s="11"/>
      <c r="E530" s="11"/>
      <c r="F530" s="11"/>
      <c r="G530" s="11"/>
      <c r="H530" s="11"/>
      <c r="I530" s="11"/>
      <c r="J530" s="11"/>
      <c r="K530" s="11"/>
      <c r="L530" s="15"/>
      <c r="M530" s="15"/>
      <c r="N530" s="15"/>
      <c r="O530" s="15"/>
      <c r="P530" s="15"/>
      <c r="Q530" s="11"/>
      <c r="R530" s="11"/>
      <c r="S530" s="11"/>
      <c r="T530" s="11"/>
      <c r="U530" s="15"/>
      <c r="V530" s="11"/>
      <c r="W530" s="11"/>
      <c r="X530" s="11"/>
      <c r="Y530" s="11"/>
      <c r="Z530" s="11"/>
    </row>
    <row r="531">
      <c r="A531" s="18"/>
      <c r="B531" s="11"/>
      <c r="C531" s="11"/>
      <c r="D531" s="11"/>
      <c r="E531" s="11"/>
      <c r="F531" s="11"/>
      <c r="G531" s="11"/>
      <c r="H531" s="11"/>
      <c r="I531" s="11"/>
      <c r="J531" s="11"/>
      <c r="K531" s="11"/>
      <c r="L531" s="15"/>
      <c r="M531" s="15"/>
      <c r="N531" s="15"/>
      <c r="O531" s="15"/>
      <c r="P531" s="15"/>
      <c r="Q531" s="11"/>
      <c r="R531" s="11"/>
      <c r="S531" s="11"/>
      <c r="T531" s="11"/>
      <c r="U531" s="15"/>
      <c r="V531" s="11"/>
      <c r="W531" s="11"/>
      <c r="X531" s="11"/>
      <c r="Y531" s="11"/>
      <c r="Z531" s="11"/>
    </row>
    <row r="532">
      <c r="A532" s="18"/>
      <c r="B532" s="11"/>
      <c r="C532" s="11"/>
      <c r="D532" s="11"/>
      <c r="E532" s="11"/>
      <c r="F532" s="11"/>
      <c r="G532" s="11"/>
      <c r="H532" s="11"/>
      <c r="I532" s="11"/>
      <c r="J532" s="11"/>
      <c r="K532" s="11"/>
      <c r="L532" s="15"/>
      <c r="M532" s="15"/>
      <c r="N532" s="15"/>
      <c r="O532" s="15"/>
      <c r="P532" s="15"/>
      <c r="Q532" s="11"/>
      <c r="R532" s="11"/>
      <c r="S532" s="11"/>
      <c r="T532" s="11"/>
      <c r="U532" s="15"/>
      <c r="V532" s="11"/>
      <c r="W532" s="11"/>
      <c r="X532" s="11"/>
      <c r="Y532" s="11"/>
      <c r="Z532" s="11"/>
    </row>
    <row r="533">
      <c r="A533" s="18"/>
      <c r="B533" s="11"/>
      <c r="C533" s="11"/>
      <c r="D533" s="11"/>
      <c r="E533" s="11"/>
      <c r="F533" s="11"/>
      <c r="G533" s="11"/>
      <c r="H533" s="11"/>
      <c r="I533" s="11"/>
      <c r="J533" s="11"/>
      <c r="K533" s="11"/>
      <c r="L533" s="15"/>
      <c r="M533" s="15"/>
      <c r="N533" s="15"/>
      <c r="O533" s="15"/>
      <c r="P533" s="15"/>
      <c r="Q533" s="11"/>
      <c r="R533" s="11"/>
      <c r="S533" s="11"/>
      <c r="T533" s="11"/>
      <c r="U533" s="15"/>
      <c r="V533" s="11"/>
      <c r="W533" s="11"/>
      <c r="X533" s="11"/>
      <c r="Y533" s="11"/>
      <c r="Z533" s="11"/>
    </row>
    <row r="534">
      <c r="A534" s="18"/>
      <c r="B534" s="11"/>
      <c r="C534" s="11"/>
      <c r="D534" s="11"/>
      <c r="E534" s="11"/>
      <c r="F534" s="11"/>
      <c r="G534" s="11"/>
      <c r="H534" s="11"/>
      <c r="I534" s="11"/>
      <c r="J534" s="11"/>
      <c r="K534" s="11"/>
      <c r="L534" s="15"/>
      <c r="M534" s="15"/>
      <c r="N534" s="15"/>
      <c r="O534" s="15"/>
      <c r="P534" s="15"/>
      <c r="Q534" s="11"/>
      <c r="R534" s="11"/>
      <c r="S534" s="11"/>
      <c r="T534" s="11"/>
      <c r="U534" s="15"/>
      <c r="V534" s="11"/>
      <c r="W534" s="11"/>
      <c r="X534" s="11"/>
      <c r="Y534" s="11"/>
      <c r="Z534" s="11"/>
    </row>
    <row r="535">
      <c r="A535" s="18"/>
      <c r="B535" s="11"/>
      <c r="C535" s="11"/>
      <c r="D535" s="11"/>
      <c r="E535" s="11"/>
      <c r="F535" s="11"/>
      <c r="G535" s="11"/>
      <c r="H535" s="11"/>
      <c r="I535" s="11"/>
      <c r="J535" s="11"/>
      <c r="K535" s="11"/>
      <c r="L535" s="15"/>
      <c r="M535" s="15"/>
      <c r="N535" s="15"/>
      <c r="O535" s="15"/>
      <c r="P535" s="15"/>
      <c r="Q535" s="11"/>
      <c r="R535" s="11"/>
      <c r="S535" s="11"/>
      <c r="T535" s="11"/>
      <c r="U535" s="15"/>
      <c r="V535" s="11"/>
      <c r="W535" s="11"/>
      <c r="X535" s="11"/>
      <c r="Y535" s="11"/>
      <c r="Z535" s="11"/>
    </row>
    <row r="536">
      <c r="A536" s="18"/>
      <c r="B536" s="11"/>
      <c r="C536" s="11"/>
      <c r="D536" s="11"/>
      <c r="E536" s="11"/>
      <c r="F536" s="11"/>
      <c r="G536" s="11"/>
      <c r="H536" s="11"/>
      <c r="I536" s="11"/>
      <c r="J536" s="11"/>
      <c r="K536" s="11"/>
      <c r="L536" s="15"/>
      <c r="M536" s="15"/>
      <c r="N536" s="15"/>
      <c r="O536" s="15"/>
      <c r="P536" s="15"/>
      <c r="Q536" s="11"/>
      <c r="R536" s="11"/>
      <c r="S536" s="11"/>
      <c r="T536" s="11"/>
      <c r="U536" s="15"/>
      <c r="V536" s="11"/>
      <c r="W536" s="11"/>
      <c r="X536" s="11"/>
      <c r="Y536" s="11"/>
      <c r="Z536" s="11"/>
    </row>
    <row r="537">
      <c r="A537" s="18"/>
      <c r="B537" s="11"/>
      <c r="C537" s="11"/>
      <c r="D537" s="11"/>
      <c r="E537" s="11"/>
      <c r="F537" s="11"/>
      <c r="G537" s="11"/>
      <c r="H537" s="11"/>
      <c r="I537" s="11"/>
      <c r="J537" s="11"/>
      <c r="K537" s="11"/>
      <c r="L537" s="15"/>
      <c r="M537" s="15"/>
      <c r="N537" s="15"/>
      <c r="O537" s="15"/>
      <c r="P537" s="15"/>
      <c r="Q537" s="11"/>
      <c r="R537" s="11"/>
      <c r="S537" s="11"/>
      <c r="T537" s="11"/>
      <c r="U537" s="15"/>
      <c r="V537" s="11"/>
      <c r="W537" s="11"/>
      <c r="X537" s="11"/>
      <c r="Y537" s="11"/>
      <c r="Z537" s="11"/>
    </row>
    <row r="538">
      <c r="A538" s="18"/>
      <c r="B538" s="11"/>
      <c r="C538" s="11"/>
      <c r="D538" s="11"/>
      <c r="E538" s="11"/>
      <c r="F538" s="11"/>
      <c r="G538" s="11"/>
      <c r="H538" s="11"/>
      <c r="I538" s="11"/>
      <c r="J538" s="11"/>
      <c r="K538" s="11"/>
      <c r="L538" s="15"/>
      <c r="M538" s="15"/>
      <c r="N538" s="15"/>
      <c r="O538" s="15"/>
      <c r="P538" s="15"/>
      <c r="Q538" s="11"/>
      <c r="R538" s="11"/>
      <c r="S538" s="11"/>
      <c r="T538" s="11"/>
      <c r="U538" s="15"/>
      <c r="V538" s="11"/>
      <c r="W538" s="11"/>
      <c r="X538" s="11"/>
      <c r="Y538" s="11"/>
      <c r="Z538" s="11"/>
    </row>
    <row r="539">
      <c r="A539" s="18"/>
      <c r="B539" s="11"/>
      <c r="C539" s="11"/>
      <c r="D539" s="11"/>
      <c r="E539" s="11"/>
      <c r="F539" s="11"/>
      <c r="G539" s="11"/>
      <c r="H539" s="11"/>
      <c r="I539" s="11"/>
      <c r="J539" s="11"/>
      <c r="K539" s="11"/>
      <c r="L539" s="15"/>
      <c r="M539" s="15"/>
      <c r="N539" s="15"/>
      <c r="O539" s="15"/>
      <c r="P539" s="15"/>
      <c r="Q539" s="11"/>
      <c r="R539" s="11"/>
      <c r="S539" s="11"/>
      <c r="T539" s="11"/>
      <c r="U539" s="15"/>
      <c r="V539" s="11"/>
      <c r="W539" s="11"/>
      <c r="X539" s="11"/>
      <c r="Y539" s="11"/>
      <c r="Z539" s="11"/>
    </row>
    <row r="540">
      <c r="A540" s="18"/>
      <c r="B540" s="11"/>
      <c r="C540" s="11"/>
      <c r="D540" s="11"/>
      <c r="E540" s="11"/>
      <c r="F540" s="11"/>
      <c r="G540" s="11"/>
      <c r="H540" s="11"/>
      <c r="I540" s="11"/>
      <c r="J540" s="11"/>
      <c r="K540" s="11"/>
      <c r="L540" s="15"/>
      <c r="M540" s="15"/>
      <c r="N540" s="15"/>
      <c r="O540" s="15"/>
      <c r="P540" s="15"/>
      <c r="Q540" s="11"/>
      <c r="R540" s="11"/>
      <c r="S540" s="11"/>
      <c r="T540" s="11"/>
      <c r="U540" s="15"/>
      <c r="V540" s="11"/>
      <c r="W540" s="11"/>
      <c r="X540" s="11"/>
      <c r="Y540" s="11"/>
      <c r="Z540" s="11"/>
    </row>
    <row r="541">
      <c r="A541" s="18"/>
      <c r="B541" s="11"/>
      <c r="C541" s="11"/>
      <c r="D541" s="11"/>
      <c r="E541" s="11"/>
      <c r="F541" s="11"/>
      <c r="G541" s="11"/>
      <c r="H541" s="11"/>
      <c r="I541" s="11"/>
      <c r="J541" s="11"/>
      <c r="K541" s="11"/>
      <c r="L541" s="15"/>
      <c r="M541" s="15"/>
      <c r="N541" s="15"/>
      <c r="O541" s="15"/>
      <c r="P541" s="15"/>
      <c r="Q541" s="11"/>
      <c r="R541" s="11"/>
      <c r="S541" s="11"/>
      <c r="T541" s="11"/>
      <c r="U541" s="15"/>
      <c r="V541" s="11"/>
      <c r="W541" s="11"/>
      <c r="X541" s="11"/>
      <c r="Y541" s="11"/>
      <c r="Z541" s="11"/>
    </row>
    <row r="542">
      <c r="A542" s="18"/>
      <c r="B542" s="11"/>
      <c r="C542" s="11"/>
      <c r="D542" s="11"/>
      <c r="E542" s="11"/>
      <c r="F542" s="11"/>
      <c r="G542" s="11"/>
      <c r="H542" s="11"/>
      <c r="I542" s="11"/>
      <c r="J542" s="11"/>
      <c r="K542" s="11"/>
      <c r="L542" s="15"/>
      <c r="M542" s="15"/>
      <c r="N542" s="15"/>
      <c r="O542" s="15"/>
      <c r="P542" s="15"/>
      <c r="Q542" s="11"/>
      <c r="R542" s="11"/>
      <c r="S542" s="11"/>
      <c r="T542" s="11"/>
      <c r="U542" s="15"/>
      <c r="V542" s="11"/>
      <c r="W542" s="11"/>
      <c r="X542" s="11"/>
      <c r="Y542" s="11"/>
      <c r="Z542" s="11"/>
    </row>
    <row r="543">
      <c r="A543" s="18"/>
      <c r="B543" s="11"/>
      <c r="C543" s="11"/>
      <c r="D543" s="11"/>
      <c r="E543" s="11"/>
      <c r="F543" s="11"/>
      <c r="G543" s="11"/>
      <c r="H543" s="11"/>
      <c r="I543" s="11"/>
      <c r="J543" s="11"/>
      <c r="K543" s="11"/>
      <c r="L543" s="15"/>
      <c r="M543" s="15"/>
      <c r="N543" s="15"/>
      <c r="O543" s="15"/>
      <c r="P543" s="15"/>
      <c r="Q543" s="11"/>
      <c r="R543" s="11"/>
      <c r="S543" s="11"/>
      <c r="T543" s="11"/>
      <c r="U543" s="15"/>
      <c r="V543" s="11"/>
      <c r="W543" s="11"/>
      <c r="X543" s="11"/>
      <c r="Y543" s="11"/>
      <c r="Z543" s="11"/>
    </row>
    <row r="544">
      <c r="A544" s="18"/>
      <c r="B544" s="11"/>
      <c r="C544" s="11"/>
      <c r="D544" s="11"/>
      <c r="E544" s="11"/>
      <c r="F544" s="11"/>
      <c r="G544" s="11"/>
      <c r="H544" s="11"/>
      <c r="I544" s="11"/>
      <c r="J544" s="11"/>
      <c r="K544" s="11"/>
      <c r="L544" s="15"/>
      <c r="M544" s="15"/>
      <c r="N544" s="15"/>
      <c r="O544" s="15"/>
      <c r="P544" s="15"/>
      <c r="Q544" s="11"/>
      <c r="R544" s="11"/>
      <c r="S544" s="11"/>
      <c r="T544" s="11"/>
      <c r="U544" s="15"/>
      <c r="V544" s="11"/>
      <c r="W544" s="11"/>
      <c r="X544" s="11"/>
      <c r="Y544" s="11"/>
      <c r="Z544" s="11"/>
    </row>
    <row r="545">
      <c r="A545" s="18"/>
      <c r="B545" s="11"/>
      <c r="C545" s="11"/>
      <c r="D545" s="11"/>
      <c r="E545" s="11"/>
      <c r="F545" s="11"/>
      <c r="G545" s="11"/>
      <c r="H545" s="11"/>
      <c r="I545" s="11"/>
      <c r="J545" s="11"/>
      <c r="K545" s="11"/>
      <c r="L545" s="15"/>
      <c r="M545" s="15"/>
      <c r="N545" s="15"/>
      <c r="O545" s="15"/>
      <c r="P545" s="15"/>
      <c r="Q545" s="11"/>
      <c r="R545" s="11"/>
      <c r="S545" s="11"/>
      <c r="T545" s="11"/>
      <c r="U545" s="15"/>
      <c r="V545" s="11"/>
      <c r="W545" s="11"/>
      <c r="X545" s="11"/>
      <c r="Y545" s="11"/>
      <c r="Z545" s="11"/>
    </row>
    <row r="546">
      <c r="A546" s="18"/>
      <c r="B546" s="11"/>
      <c r="C546" s="11"/>
      <c r="D546" s="11"/>
      <c r="E546" s="11"/>
      <c r="F546" s="11"/>
      <c r="G546" s="11"/>
      <c r="H546" s="11"/>
      <c r="I546" s="11"/>
      <c r="J546" s="11"/>
      <c r="K546" s="11"/>
      <c r="L546" s="15"/>
      <c r="M546" s="15"/>
      <c r="N546" s="15"/>
      <c r="O546" s="15"/>
      <c r="P546" s="15"/>
      <c r="Q546" s="11"/>
      <c r="R546" s="11"/>
      <c r="S546" s="11"/>
      <c r="T546" s="11"/>
      <c r="U546" s="15"/>
      <c r="V546" s="11"/>
      <c r="W546" s="11"/>
      <c r="X546" s="11"/>
      <c r="Y546" s="11"/>
      <c r="Z546" s="11"/>
    </row>
    <row r="547">
      <c r="A547" s="18"/>
      <c r="B547" s="11"/>
      <c r="C547" s="11"/>
      <c r="D547" s="11"/>
      <c r="E547" s="11"/>
      <c r="F547" s="11"/>
      <c r="G547" s="11"/>
      <c r="H547" s="11"/>
      <c r="I547" s="11"/>
      <c r="J547" s="11"/>
      <c r="K547" s="11"/>
      <c r="L547" s="15"/>
      <c r="M547" s="15"/>
      <c r="N547" s="15"/>
      <c r="O547" s="15"/>
      <c r="P547" s="15"/>
      <c r="Q547" s="11"/>
      <c r="R547" s="11"/>
      <c r="S547" s="11"/>
      <c r="T547" s="11"/>
      <c r="U547" s="15"/>
      <c r="V547" s="11"/>
      <c r="W547" s="11"/>
      <c r="X547" s="11"/>
      <c r="Y547" s="11"/>
      <c r="Z547" s="11"/>
    </row>
    <row r="548">
      <c r="A548" s="18"/>
      <c r="B548" s="11"/>
      <c r="C548" s="11"/>
      <c r="D548" s="11"/>
      <c r="E548" s="11"/>
      <c r="F548" s="11"/>
      <c r="G548" s="11"/>
      <c r="H548" s="11"/>
      <c r="I548" s="11"/>
      <c r="J548" s="11"/>
      <c r="K548" s="11"/>
      <c r="L548" s="15"/>
      <c r="M548" s="15"/>
      <c r="N548" s="15"/>
      <c r="O548" s="15"/>
      <c r="P548" s="15"/>
      <c r="Q548" s="11"/>
      <c r="R548" s="11"/>
      <c r="S548" s="11"/>
      <c r="T548" s="11"/>
      <c r="U548" s="15"/>
      <c r="V548" s="11"/>
      <c r="W548" s="11"/>
      <c r="X548" s="11"/>
      <c r="Y548" s="11"/>
      <c r="Z548" s="11"/>
    </row>
    <row r="549">
      <c r="A549" s="18"/>
      <c r="B549" s="11"/>
      <c r="C549" s="11"/>
      <c r="D549" s="11"/>
      <c r="E549" s="11"/>
      <c r="F549" s="11"/>
      <c r="G549" s="11"/>
      <c r="H549" s="11"/>
      <c r="I549" s="11"/>
      <c r="J549" s="11"/>
      <c r="K549" s="11"/>
      <c r="L549" s="15"/>
      <c r="M549" s="15"/>
      <c r="N549" s="15"/>
      <c r="O549" s="15"/>
      <c r="P549" s="15"/>
      <c r="Q549" s="11"/>
      <c r="R549" s="11"/>
      <c r="S549" s="11"/>
      <c r="T549" s="11"/>
      <c r="U549" s="15"/>
      <c r="V549" s="11"/>
      <c r="W549" s="11"/>
      <c r="X549" s="11"/>
      <c r="Y549" s="11"/>
      <c r="Z549" s="11"/>
    </row>
    <row r="550">
      <c r="A550" s="18"/>
      <c r="B550" s="11"/>
      <c r="C550" s="11"/>
      <c r="D550" s="11"/>
      <c r="E550" s="11"/>
      <c r="F550" s="11"/>
      <c r="G550" s="11"/>
      <c r="H550" s="11"/>
      <c r="I550" s="11"/>
      <c r="J550" s="11"/>
      <c r="K550" s="11"/>
      <c r="L550" s="15"/>
      <c r="M550" s="15"/>
      <c r="N550" s="15"/>
      <c r="O550" s="15"/>
      <c r="P550" s="15"/>
      <c r="Q550" s="11"/>
      <c r="R550" s="11"/>
      <c r="S550" s="11"/>
      <c r="T550" s="11"/>
      <c r="U550" s="15"/>
      <c r="V550" s="11"/>
      <c r="W550" s="11"/>
      <c r="X550" s="11"/>
      <c r="Y550" s="11"/>
      <c r="Z550" s="11"/>
    </row>
    <row r="551">
      <c r="A551" s="18"/>
      <c r="B551" s="11"/>
      <c r="C551" s="11"/>
      <c r="D551" s="11"/>
      <c r="E551" s="11"/>
      <c r="F551" s="11"/>
      <c r="G551" s="11"/>
      <c r="H551" s="11"/>
      <c r="I551" s="11"/>
      <c r="J551" s="11"/>
      <c r="K551" s="11"/>
      <c r="L551" s="15"/>
      <c r="M551" s="15"/>
      <c r="N551" s="15"/>
      <c r="O551" s="15"/>
      <c r="P551" s="15"/>
      <c r="Q551" s="11"/>
      <c r="R551" s="11"/>
      <c r="S551" s="11"/>
      <c r="T551" s="11"/>
      <c r="U551" s="15"/>
      <c r="V551" s="11"/>
      <c r="W551" s="11"/>
      <c r="X551" s="11"/>
      <c r="Y551" s="11"/>
      <c r="Z551" s="11"/>
    </row>
    <row r="552">
      <c r="A552" s="18"/>
      <c r="B552" s="11"/>
      <c r="C552" s="11"/>
      <c r="D552" s="11"/>
      <c r="E552" s="11"/>
      <c r="F552" s="11"/>
      <c r="G552" s="11"/>
      <c r="H552" s="11"/>
      <c r="I552" s="11"/>
      <c r="J552" s="11"/>
      <c r="K552" s="11"/>
      <c r="L552" s="15"/>
      <c r="M552" s="15"/>
      <c r="N552" s="15"/>
      <c r="O552" s="15"/>
      <c r="P552" s="15"/>
      <c r="Q552" s="11"/>
      <c r="R552" s="11"/>
      <c r="S552" s="11"/>
      <c r="T552" s="11"/>
      <c r="U552" s="15"/>
      <c r="V552" s="11"/>
      <c r="W552" s="11"/>
      <c r="X552" s="11"/>
      <c r="Y552" s="11"/>
      <c r="Z552" s="11"/>
    </row>
    <row r="553">
      <c r="A553" s="18"/>
      <c r="B553" s="11"/>
      <c r="C553" s="11"/>
      <c r="D553" s="11"/>
      <c r="E553" s="11"/>
      <c r="F553" s="11"/>
      <c r="G553" s="11"/>
      <c r="H553" s="11"/>
      <c r="I553" s="11"/>
      <c r="J553" s="11"/>
      <c r="K553" s="11"/>
      <c r="L553" s="15"/>
      <c r="M553" s="15"/>
      <c r="N553" s="15"/>
      <c r="O553" s="15"/>
      <c r="P553" s="15"/>
      <c r="Q553" s="11"/>
      <c r="R553" s="11"/>
      <c r="S553" s="11"/>
      <c r="T553" s="11"/>
      <c r="U553" s="15"/>
      <c r="V553" s="11"/>
      <c r="W553" s="11"/>
      <c r="X553" s="11"/>
      <c r="Y553" s="11"/>
      <c r="Z553" s="11"/>
    </row>
    <row r="554">
      <c r="A554" s="18"/>
      <c r="B554" s="11"/>
      <c r="C554" s="11"/>
      <c r="D554" s="11"/>
      <c r="E554" s="11"/>
      <c r="F554" s="11"/>
      <c r="G554" s="11"/>
      <c r="H554" s="11"/>
      <c r="I554" s="11"/>
      <c r="J554" s="11"/>
      <c r="K554" s="11"/>
      <c r="L554" s="15"/>
      <c r="M554" s="15"/>
      <c r="N554" s="15"/>
      <c r="O554" s="15"/>
      <c r="P554" s="15"/>
      <c r="Q554" s="11"/>
      <c r="R554" s="11"/>
      <c r="S554" s="11"/>
      <c r="T554" s="11"/>
      <c r="U554" s="15"/>
      <c r="V554" s="11"/>
      <c r="W554" s="11"/>
      <c r="X554" s="11"/>
      <c r="Y554" s="11"/>
      <c r="Z554" s="11"/>
    </row>
    <row r="555">
      <c r="A555" s="18"/>
      <c r="B555" s="11"/>
      <c r="C555" s="11"/>
      <c r="D555" s="11"/>
      <c r="E555" s="11"/>
      <c r="F555" s="11"/>
      <c r="G555" s="11"/>
      <c r="H555" s="11"/>
      <c r="I555" s="11"/>
      <c r="J555" s="11"/>
      <c r="K555" s="11"/>
      <c r="L555" s="15"/>
      <c r="M555" s="15"/>
      <c r="N555" s="15"/>
      <c r="O555" s="15"/>
      <c r="P555" s="15"/>
      <c r="Q555" s="11"/>
      <c r="R555" s="11"/>
      <c r="S555" s="11"/>
      <c r="T555" s="11"/>
      <c r="U555" s="15"/>
      <c r="V555" s="11"/>
      <c r="W555" s="11"/>
      <c r="X555" s="11"/>
      <c r="Y555" s="11"/>
      <c r="Z555" s="11"/>
    </row>
    <row r="556">
      <c r="A556" s="18"/>
      <c r="B556" s="11"/>
      <c r="C556" s="11"/>
      <c r="D556" s="11"/>
      <c r="E556" s="11"/>
      <c r="F556" s="11"/>
      <c r="G556" s="11"/>
      <c r="H556" s="11"/>
      <c r="I556" s="11"/>
      <c r="J556" s="11"/>
      <c r="K556" s="11"/>
      <c r="L556" s="15"/>
      <c r="M556" s="15"/>
      <c r="N556" s="15"/>
      <c r="O556" s="15"/>
      <c r="P556" s="15"/>
      <c r="Q556" s="11"/>
      <c r="R556" s="11"/>
      <c r="S556" s="11"/>
      <c r="T556" s="11"/>
      <c r="U556" s="15"/>
      <c r="V556" s="11"/>
      <c r="W556" s="11"/>
      <c r="X556" s="11"/>
      <c r="Y556" s="11"/>
      <c r="Z556" s="11"/>
    </row>
    <row r="557">
      <c r="A557" s="18"/>
      <c r="B557" s="11"/>
      <c r="C557" s="11"/>
      <c r="D557" s="11"/>
      <c r="E557" s="11"/>
      <c r="F557" s="11"/>
      <c r="G557" s="11"/>
      <c r="H557" s="11"/>
      <c r="I557" s="11"/>
      <c r="J557" s="11"/>
      <c r="K557" s="11"/>
      <c r="L557" s="15"/>
      <c r="M557" s="15"/>
      <c r="N557" s="15"/>
      <c r="O557" s="15"/>
      <c r="P557" s="15"/>
      <c r="Q557" s="11"/>
      <c r="R557" s="11"/>
      <c r="S557" s="11"/>
      <c r="T557" s="11"/>
      <c r="U557" s="15"/>
      <c r="V557" s="11"/>
      <c r="W557" s="11"/>
      <c r="X557" s="11"/>
      <c r="Y557" s="11"/>
      <c r="Z557" s="11"/>
    </row>
    <row r="558">
      <c r="A558" s="18"/>
      <c r="B558" s="11"/>
      <c r="C558" s="11"/>
      <c r="D558" s="11"/>
      <c r="E558" s="11"/>
      <c r="F558" s="11"/>
      <c r="G558" s="11"/>
      <c r="H558" s="11"/>
      <c r="I558" s="11"/>
      <c r="J558" s="11"/>
      <c r="K558" s="11"/>
      <c r="L558" s="15"/>
      <c r="M558" s="15"/>
      <c r="N558" s="15"/>
      <c r="O558" s="15"/>
      <c r="P558" s="15"/>
      <c r="Q558" s="11"/>
      <c r="R558" s="11"/>
      <c r="S558" s="11"/>
      <c r="T558" s="11"/>
      <c r="U558" s="15"/>
      <c r="V558" s="11"/>
      <c r="W558" s="11"/>
      <c r="X558" s="11"/>
      <c r="Y558" s="11"/>
      <c r="Z558" s="11"/>
    </row>
    <row r="559">
      <c r="A559" s="18"/>
      <c r="B559" s="11"/>
      <c r="C559" s="11"/>
      <c r="D559" s="11"/>
      <c r="E559" s="11"/>
      <c r="F559" s="11"/>
      <c r="G559" s="11"/>
      <c r="H559" s="11"/>
      <c r="I559" s="11"/>
      <c r="J559" s="11"/>
      <c r="K559" s="11"/>
      <c r="L559" s="15"/>
      <c r="M559" s="15"/>
      <c r="N559" s="15"/>
      <c r="O559" s="15"/>
      <c r="P559" s="15"/>
      <c r="Q559" s="11"/>
      <c r="R559" s="11"/>
      <c r="S559" s="11"/>
      <c r="T559" s="11"/>
      <c r="U559" s="15"/>
      <c r="V559" s="11"/>
      <c r="W559" s="11"/>
      <c r="X559" s="11"/>
      <c r="Y559" s="11"/>
      <c r="Z559" s="11"/>
    </row>
    <row r="560">
      <c r="A560" s="18"/>
      <c r="B560" s="11"/>
      <c r="C560" s="11"/>
      <c r="D560" s="11"/>
      <c r="E560" s="11"/>
      <c r="F560" s="11"/>
      <c r="G560" s="11"/>
      <c r="H560" s="11"/>
      <c r="I560" s="11"/>
      <c r="J560" s="11"/>
      <c r="K560" s="11"/>
      <c r="L560" s="15"/>
      <c r="M560" s="15"/>
      <c r="N560" s="15"/>
      <c r="O560" s="15"/>
      <c r="P560" s="15"/>
      <c r="Q560" s="11"/>
      <c r="R560" s="11"/>
      <c r="S560" s="11"/>
      <c r="T560" s="11"/>
      <c r="U560" s="15"/>
      <c r="V560" s="11"/>
      <c r="W560" s="11"/>
      <c r="X560" s="11"/>
      <c r="Y560" s="11"/>
      <c r="Z560" s="11"/>
    </row>
    <row r="561">
      <c r="A561" s="18"/>
      <c r="B561" s="11"/>
      <c r="C561" s="11"/>
      <c r="D561" s="11"/>
      <c r="E561" s="11"/>
      <c r="F561" s="11"/>
      <c r="G561" s="11"/>
      <c r="H561" s="11"/>
      <c r="I561" s="11"/>
      <c r="J561" s="11"/>
      <c r="K561" s="11"/>
      <c r="L561" s="15"/>
      <c r="M561" s="15"/>
      <c r="N561" s="15"/>
      <c r="O561" s="15"/>
      <c r="P561" s="15"/>
      <c r="Q561" s="11"/>
      <c r="R561" s="11"/>
      <c r="S561" s="11"/>
      <c r="T561" s="11"/>
      <c r="U561" s="15"/>
      <c r="V561" s="11"/>
      <c r="W561" s="11"/>
      <c r="X561" s="11"/>
      <c r="Y561" s="11"/>
      <c r="Z561" s="11"/>
    </row>
    <row r="562">
      <c r="A562" s="18"/>
      <c r="B562" s="11"/>
      <c r="C562" s="11"/>
      <c r="D562" s="11"/>
      <c r="E562" s="11"/>
      <c r="F562" s="11"/>
      <c r="G562" s="11"/>
      <c r="H562" s="11"/>
      <c r="I562" s="11"/>
      <c r="J562" s="11"/>
      <c r="K562" s="11"/>
      <c r="L562" s="15"/>
      <c r="M562" s="15"/>
      <c r="N562" s="15"/>
      <c r="O562" s="15"/>
      <c r="P562" s="15"/>
      <c r="Q562" s="11"/>
      <c r="R562" s="11"/>
      <c r="S562" s="11"/>
      <c r="T562" s="11"/>
      <c r="U562" s="15"/>
      <c r="V562" s="11"/>
      <c r="W562" s="11"/>
      <c r="X562" s="11"/>
      <c r="Y562" s="11"/>
      <c r="Z562" s="11"/>
    </row>
    <row r="563">
      <c r="A563" s="18"/>
      <c r="B563" s="11"/>
      <c r="C563" s="11"/>
      <c r="D563" s="11"/>
      <c r="E563" s="11"/>
      <c r="F563" s="11"/>
      <c r="G563" s="11"/>
      <c r="H563" s="11"/>
      <c r="I563" s="11"/>
      <c r="J563" s="11"/>
      <c r="K563" s="11"/>
      <c r="L563" s="15"/>
      <c r="M563" s="15"/>
      <c r="N563" s="15"/>
      <c r="O563" s="15"/>
      <c r="P563" s="15"/>
      <c r="Q563" s="11"/>
      <c r="R563" s="11"/>
      <c r="S563" s="11"/>
      <c r="T563" s="11"/>
      <c r="U563" s="15"/>
      <c r="V563" s="11"/>
      <c r="W563" s="11"/>
      <c r="X563" s="11"/>
      <c r="Y563" s="11"/>
      <c r="Z563" s="11"/>
    </row>
    <row r="564">
      <c r="A564" s="18"/>
      <c r="B564" s="11"/>
      <c r="C564" s="11"/>
      <c r="D564" s="11"/>
      <c r="E564" s="11"/>
      <c r="F564" s="11"/>
      <c r="G564" s="11"/>
      <c r="H564" s="11"/>
      <c r="I564" s="11"/>
      <c r="J564" s="11"/>
      <c r="K564" s="11"/>
      <c r="L564" s="15"/>
      <c r="M564" s="15"/>
      <c r="N564" s="15"/>
      <c r="O564" s="15"/>
      <c r="P564" s="15"/>
      <c r="Q564" s="11"/>
      <c r="R564" s="11"/>
      <c r="S564" s="11"/>
      <c r="T564" s="11"/>
      <c r="U564" s="15"/>
      <c r="V564" s="11"/>
      <c r="W564" s="11"/>
      <c r="X564" s="11"/>
      <c r="Y564" s="11"/>
      <c r="Z564" s="11"/>
    </row>
    <row r="565">
      <c r="A565" s="18"/>
      <c r="B565" s="11"/>
      <c r="C565" s="11"/>
      <c r="D565" s="11"/>
      <c r="E565" s="11"/>
      <c r="F565" s="11"/>
      <c r="G565" s="11"/>
      <c r="H565" s="11"/>
      <c r="I565" s="11"/>
      <c r="J565" s="11"/>
      <c r="K565" s="11"/>
      <c r="L565" s="15"/>
      <c r="M565" s="15"/>
      <c r="N565" s="15"/>
      <c r="O565" s="15"/>
      <c r="P565" s="15"/>
      <c r="Q565" s="11"/>
      <c r="R565" s="11"/>
      <c r="S565" s="11"/>
      <c r="T565" s="11"/>
      <c r="U565" s="15"/>
      <c r="V565" s="11"/>
      <c r="W565" s="11"/>
      <c r="X565" s="11"/>
      <c r="Y565" s="11"/>
      <c r="Z565" s="11"/>
    </row>
    <row r="566">
      <c r="A566" s="18"/>
      <c r="B566" s="11"/>
      <c r="C566" s="11"/>
      <c r="D566" s="11"/>
      <c r="E566" s="11"/>
      <c r="F566" s="11"/>
      <c r="G566" s="11"/>
      <c r="H566" s="11"/>
      <c r="I566" s="11"/>
      <c r="J566" s="11"/>
      <c r="K566" s="11"/>
      <c r="L566" s="15"/>
      <c r="M566" s="15"/>
      <c r="N566" s="15"/>
      <c r="O566" s="15"/>
      <c r="P566" s="15"/>
      <c r="Q566" s="11"/>
      <c r="R566" s="11"/>
      <c r="S566" s="11"/>
      <c r="T566" s="11"/>
      <c r="U566" s="15"/>
      <c r="V566" s="11"/>
      <c r="W566" s="11"/>
      <c r="X566" s="11"/>
      <c r="Y566" s="11"/>
      <c r="Z566" s="11"/>
    </row>
    <row r="567">
      <c r="A567" s="18"/>
      <c r="B567" s="11"/>
      <c r="C567" s="11"/>
      <c r="D567" s="11"/>
      <c r="E567" s="11"/>
      <c r="F567" s="11"/>
      <c r="G567" s="11"/>
      <c r="H567" s="11"/>
      <c r="I567" s="11"/>
      <c r="J567" s="11"/>
      <c r="K567" s="11"/>
      <c r="L567" s="15"/>
      <c r="M567" s="15"/>
      <c r="N567" s="15"/>
      <c r="O567" s="15"/>
      <c r="P567" s="15"/>
      <c r="Q567" s="11"/>
      <c r="R567" s="11"/>
      <c r="S567" s="11"/>
      <c r="T567" s="11"/>
      <c r="U567" s="15"/>
      <c r="V567" s="11"/>
      <c r="W567" s="11"/>
      <c r="X567" s="11"/>
      <c r="Y567" s="11"/>
      <c r="Z567" s="11"/>
    </row>
    <row r="568">
      <c r="A568" s="18"/>
      <c r="B568" s="11"/>
      <c r="C568" s="11"/>
      <c r="D568" s="11"/>
      <c r="E568" s="11"/>
      <c r="F568" s="11"/>
      <c r="G568" s="11"/>
      <c r="H568" s="11"/>
      <c r="I568" s="11"/>
      <c r="J568" s="11"/>
      <c r="K568" s="11"/>
      <c r="L568" s="15"/>
      <c r="M568" s="15"/>
      <c r="N568" s="15"/>
      <c r="O568" s="15"/>
      <c r="P568" s="15"/>
      <c r="Q568" s="11"/>
      <c r="R568" s="11"/>
      <c r="S568" s="11"/>
      <c r="T568" s="11"/>
      <c r="U568" s="15"/>
      <c r="V568" s="11"/>
      <c r="W568" s="11"/>
      <c r="X568" s="11"/>
      <c r="Y568" s="11"/>
      <c r="Z568" s="11"/>
    </row>
    <row r="569">
      <c r="A569" s="18"/>
      <c r="B569" s="11"/>
      <c r="C569" s="11"/>
      <c r="D569" s="11"/>
      <c r="E569" s="11"/>
      <c r="F569" s="11"/>
      <c r="G569" s="11"/>
      <c r="H569" s="11"/>
      <c r="I569" s="11"/>
      <c r="J569" s="11"/>
      <c r="K569" s="11"/>
      <c r="L569" s="15"/>
      <c r="M569" s="15"/>
      <c r="N569" s="15"/>
      <c r="O569" s="15"/>
      <c r="P569" s="15"/>
      <c r="Q569" s="11"/>
      <c r="R569" s="11"/>
      <c r="S569" s="11"/>
      <c r="T569" s="11"/>
      <c r="U569" s="15"/>
      <c r="V569" s="11"/>
      <c r="W569" s="11"/>
      <c r="X569" s="11"/>
      <c r="Y569" s="11"/>
      <c r="Z569" s="11"/>
    </row>
    <row r="570">
      <c r="A570" s="18"/>
      <c r="B570" s="11"/>
      <c r="C570" s="11"/>
      <c r="D570" s="11"/>
      <c r="E570" s="11"/>
      <c r="F570" s="11"/>
      <c r="G570" s="11"/>
      <c r="H570" s="11"/>
      <c r="I570" s="11"/>
      <c r="J570" s="11"/>
      <c r="K570" s="11"/>
      <c r="L570" s="15"/>
      <c r="M570" s="15"/>
      <c r="N570" s="15"/>
      <c r="O570" s="15"/>
      <c r="P570" s="15"/>
      <c r="Q570" s="11"/>
      <c r="R570" s="11"/>
      <c r="S570" s="11"/>
      <c r="T570" s="11"/>
      <c r="U570" s="15"/>
      <c r="V570" s="11"/>
      <c r="W570" s="11"/>
      <c r="X570" s="11"/>
      <c r="Y570" s="11"/>
      <c r="Z570" s="11"/>
    </row>
    <row r="571">
      <c r="A571" s="18"/>
      <c r="B571" s="11"/>
      <c r="C571" s="11"/>
      <c r="D571" s="11"/>
      <c r="E571" s="11"/>
      <c r="F571" s="11"/>
      <c r="G571" s="11"/>
      <c r="H571" s="11"/>
      <c r="I571" s="11"/>
      <c r="J571" s="11"/>
      <c r="K571" s="11"/>
      <c r="L571" s="15"/>
      <c r="M571" s="15"/>
      <c r="N571" s="15"/>
      <c r="O571" s="15"/>
      <c r="P571" s="15"/>
      <c r="Q571" s="11"/>
      <c r="R571" s="11"/>
      <c r="S571" s="11"/>
      <c r="T571" s="11"/>
      <c r="U571" s="15"/>
      <c r="V571" s="11"/>
      <c r="W571" s="11"/>
      <c r="X571" s="11"/>
      <c r="Y571" s="11"/>
      <c r="Z571" s="11"/>
    </row>
    <row r="572">
      <c r="A572" s="18"/>
      <c r="B572" s="11"/>
      <c r="C572" s="11"/>
      <c r="D572" s="11"/>
      <c r="E572" s="11"/>
      <c r="F572" s="11"/>
      <c r="G572" s="11"/>
      <c r="H572" s="11"/>
      <c r="I572" s="11"/>
      <c r="J572" s="11"/>
      <c r="K572" s="11"/>
      <c r="L572" s="15"/>
      <c r="M572" s="15"/>
      <c r="N572" s="15"/>
      <c r="O572" s="15"/>
      <c r="P572" s="15"/>
      <c r="Q572" s="11"/>
      <c r="R572" s="11"/>
      <c r="S572" s="11"/>
      <c r="T572" s="11"/>
      <c r="U572" s="15"/>
      <c r="V572" s="11"/>
      <c r="W572" s="11"/>
      <c r="X572" s="11"/>
      <c r="Y572" s="11"/>
      <c r="Z572" s="11"/>
    </row>
    <row r="573">
      <c r="A573" s="18"/>
      <c r="B573" s="11"/>
      <c r="C573" s="11"/>
      <c r="D573" s="11"/>
      <c r="E573" s="11"/>
      <c r="F573" s="11"/>
      <c r="G573" s="11"/>
      <c r="H573" s="11"/>
      <c r="I573" s="11"/>
      <c r="J573" s="11"/>
      <c r="K573" s="11"/>
      <c r="L573" s="15"/>
      <c r="M573" s="15"/>
      <c r="N573" s="15"/>
      <c r="O573" s="15"/>
      <c r="P573" s="15"/>
      <c r="Q573" s="11"/>
      <c r="R573" s="11"/>
      <c r="S573" s="11"/>
      <c r="T573" s="11"/>
      <c r="U573" s="15"/>
      <c r="V573" s="11"/>
      <c r="W573" s="11"/>
      <c r="X573" s="11"/>
      <c r="Y573" s="11"/>
      <c r="Z573" s="11"/>
    </row>
    <row r="574">
      <c r="A574" s="18"/>
      <c r="B574" s="11"/>
      <c r="C574" s="11"/>
      <c r="D574" s="11"/>
      <c r="E574" s="11"/>
      <c r="F574" s="11"/>
      <c r="G574" s="11"/>
      <c r="H574" s="11"/>
      <c r="I574" s="11"/>
      <c r="J574" s="11"/>
      <c r="K574" s="11"/>
      <c r="L574" s="15"/>
      <c r="M574" s="15"/>
      <c r="N574" s="15"/>
      <c r="O574" s="15"/>
      <c r="P574" s="15"/>
      <c r="Q574" s="11"/>
      <c r="R574" s="11"/>
      <c r="S574" s="11"/>
      <c r="T574" s="11"/>
      <c r="U574" s="15"/>
      <c r="V574" s="11"/>
      <c r="W574" s="11"/>
      <c r="X574" s="11"/>
      <c r="Y574" s="11"/>
      <c r="Z574" s="11"/>
    </row>
    <row r="575">
      <c r="A575" s="18"/>
      <c r="B575" s="11"/>
      <c r="C575" s="11"/>
      <c r="D575" s="11"/>
      <c r="E575" s="11"/>
      <c r="F575" s="11"/>
      <c r="G575" s="11"/>
      <c r="H575" s="11"/>
      <c r="I575" s="11"/>
      <c r="J575" s="11"/>
      <c r="K575" s="11"/>
      <c r="L575" s="15"/>
      <c r="M575" s="15"/>
      <c r="N575" s="15"/>
      <c r="O575" s="15"/>
      <c r="P575" s="15"/>
      <c r="Q575" s="11"/>
      <c r="R575" s="11"/>
      <c r="S575" s="11"/>
      <c r="T575" s="11"/>
      <c r="U575" s="15"/>
      <c r="V575" s="11"/>
      <c r="W575" s="11"/>
      <c r="X575" s="11"/>
      <c r="Y575" s="11"/>
      <c r="Z575" s="11"/>
    </row>
    <row r="576">
      <c r="A576" s="18"/>
      <c r="B576" s="11"/>
      <c r="C576" s="11"/>
      <c r="D576" s="11"/>
      <c r="E576" s="11"/>
      <c r="F576" s="11"/>
      <c r="G576" s="11"/>
      <c r="H576" s="11"/>
      <c r="I576" s="11"/>
      <c r="J576" s="11"/>
      <c r="K576" s="11"/>
      <c r="L576" s="15"/>
      <c r="M576" s="15"/>
      <c r="N576" s="15"/>
      <c r="O576" s="15"/>
      <c r="P576" s="15"/>
      <c r="Q576" s="11"/>
      <c r="R576" s="11"/>
      <c r="S576" s="11"/>
      <c r="T576" s="11"/>
      <c r="U576" s="15"/>
      <c r="V576" s="11"/>
      <c r="W576" s="11"/>
      <c r="X576" s="11"/>
      <c r="Y576" s="11"/>
      <c r="Z576" s="11"/>
    </row>
    <row r="577">
      <c r="A577" s="18"/>
      <c r="B577" s="11"/>
      <c r="C577" s="11"/>
      <c r="D577" s="11"/>
      <c r="E577" s="11"/>
      <c r="F577" s="11"/>
      <c r="G577" s="11"/>
      <c r="H577" s="11"/>
      <c r="I577" s="11"/>
      <c r="J577" s="11"/>
      <c r="K577" s="11"/>
      <c r="L577" s="15"/>
      <c r="M577" s="15"/>
      <c r="N577" s="15"/>
      <c r="O577" s="15"/>
      <c r="P577" s="15"/>
      <c r="Q577" s="11"/>
      <c r="R577" s="11"/>
      <c r="S577" s="11"/>
      <c r="T577" s="11"/>
      <c r="U577" s="15"/>
      <c r="V577" s="11"/>
      <c r="W577" s="11"/>
      <c r="X577" s="11"/>
      <c r="Y577" s="11"/>
      <c r="Z577" s="11"/>
    </row>
    <row r="578">
      <c r="A578" s="18"/>
      <c r="B578" s="11"/>
      <c r="C578" s="11"/>
      <c r="D578" s="11"/>
      <c r="E578" s="11"/>
      <c r="F578" s="11"/>
      <c r="G578" s="11"/>
      <c r="H578" s="11"/>
      <c r="I578" s="11"/>
      <c r="J578" s="11"/>
      <c r="K578" s="11"/>
      <c r="L578" s="15"/>
      <c r="M578" s="15"/>
      <c r="N578" s="15"/>
      <c r="O578" s="15"/>
      <c r="P578" s="15"/>
      <c r="Q578" s="11"/>
      <c r="R578" s="11"/>
      <c r="S578" s="11"/>
      <c r="T578" s="11"/>
      <c r="U578" s="15"/>
      <c r="V578" s="11"/>
      <c r="W578" s="11"/>
      <c r="X578" s="11"/>
      <c r="Y578" s="11"/>
      <c r="Z578" s="11"/>
    </row>
    <row r="579">
      <c r="A579" s="18"/>
      <c r="B579" s="11"/>
      <c r="C579" s="11"/>
      <c r="D579" s="11"/>
      <c r="E579" s="11"/>
      <c r="F579" s="11"/>
      <c r="G579" s="11"/>
      <c r="H579" s="11"/>
      <c r="I579" s="11"/>
      <c r="J579" s="11"/>
      <c r="K579" s="11"/>
      <c r="L579" s="15"/>
      <c r="M579" s="15"/>
      <c r="N579" s="15"/>
      <c r="O579" s="15"/>
      <c r="P579" s="15"/>
      <c r="Q579" s="11"/>
      <c r="R579" s="11"/>
      <c r="S579" s="11"/>
      <c r="T579" s="11"/>
      <c r="U579" s="15"/>
      <c r="V579" s="11"/>
      <c r="W579" s="11"/>
      <c r="X579" s="11"/>
      <c r="Y579" s="11"/>
      <c r="Z579" s="11"/>
    </row>
    <row r="580">
      <c r="A580" s="18"/>
      <c r="B580" s="11"/>
      <c r="C580" s="11"/>
      <c r="D580" s="11"/>
      <c r="E580" s="11"/>
      <c r="F580" s="11"/>
      <c r="G580" s="11"/>
      <c r="H580" s="11"/>
      <c r="I580" s="11"/>
      <c r="J580" s="11"/>
      <c r="K580" s="11"/>
      <c r="L580" s="15"/>
      <c r="M580" s="15"/>
      <c r="N580" s="15"/>
      <c r="O580" s="15"/>
      <c r="P580" s="15"/>
      <c r="Q580" s="11"/>
      <c r="R580" s="11"/>
      <c r="S580" s="11"/>
      <c r="T580" s="11"/>
      <c r="U580" s="15"/>
      <c r="V580" s="11"/>
      <c r="W580" s="11"/>
      <c r="X580" s="11"/>
      <c r="Y580" s="11"/>
      <c r="Z580" s="11"/>
    </row>
    <row r="581">
      <c r="A581" s="18"/>
      <c r="B581" s="11"/>
      <c r="C581" s="11"/>
      <c r="D581" s="11"/>
      <c r="E581" s="11"/>
      <c r="F581" s="11"/>
      <c r="G581" s="11"/>
      <c r="H581" s="11"/>
      <c r="I581" s="11"/>
      <c r="J581" s="11"/>
      <c r="K581" s="11"/>
      <c r="L581" s="15"/>
      <c r="M581" s="15"/>
      <c r="N581" s="15"/>
      <c r="O581" s="15"/>
      <c r="P581" s="15"/>
      <c r="Q581" s="11"/>
      <c r="R581" s="11"/>
      <c r="S581" s="11"/>
      <c r="T581" s="11"/>
      <c r="U581" s="15"/>
      <c r="V581" s="11"/>
      <c r="W581" s="11"/>
      <c r="X581" s="11"/>
      <c r="Y581" s="11"/>
      <c r="Z581" s="11"/>
    </row>
    <row r="582">
      <c r="A582" s="18"/>
      <c r="B582" s="11"/>
      <c r="C582" s="11"/>
      <c r="D582" s="11"/>
      <c r="E582" s="11"/>
      <c r="F582" s="11"/>
      <c r="G582" s="11"/>
      <c r="H582" s="11"/>
      <c r="I582" s="11"/>
      <c r="J582" s="11"/>
      <c r="K582" s="11"/>
      <c r="L582" s="15"/>
      <c r="M582" s="15"/>
      <c r="N582" s="15"/>
      <c r="O582" s="15"/>
      <c r="P582" s="15"/>
      <c r="Q582" s="11"/>
      <c r="R582" s="11"/>
      <c r="S582" s="11"/>
      <c r="T582" s="11"/>
      <c r="U582" s="15"/>
      <c r="V582" s="11"/>
      <c r="W582" s="11"/>
      <c r="X582" s="11"/>
      <c r="Y582" s="11"/>
      <c r="Z582" s="11"/>
    </row>
    <row r="583">
      <c r="A583" s="18"/>
      <c r="B583" s="11"/>
      <c r="C583" s="11"/>
      <c r="D583" s="11"/>
      <c r="E583" s="11"/>
      <c r="F583" s="11"/>
      <c r="G583" s="11"/>
      <c r="H583" s="11"/>
      <c r="I583" s="11"/>
      <c r="J583" s="11"/>
      <c r="K583" s="11"/>
      <c r="L583" s="15"/>
      <c r="M583" s="15"/>
      <c r="N583" s="15"/>
      <c r="O583" s="15"/>
      <c r="P583" s="15"/>
      <c r="Q583" s="11"/>
      <c r="R583" s="11"/>
      <c r="S583" s="11"/>
      <c r="T583" s="11"/>
      <c r="U583" s="15"/>
      <c r="V583" s="11"/>
      <c r="W583" s="11"/>
      <c r="X583" s="11"/>
      <c r="Y583" s="11"/>
      <c r="Z583" s="11"/>
    </row>
    <row r="584">
      <c r="A584" s="18"/>
      <c r="B584" s="11"/>
      <c r="C584" s="11"/>
      <c r="D584" s="11"/>
      <c r="E584" s="11"/>
      <c r="F584" s="11"/>
      <c r="G584" s="11"/>
      <c r="H584" s="11"/>
      <c r="I584" s="11"/>
      <c r="J584" s="11"/>
      <c r="K584" s="11"/>
      <c r="L584" s="15"/>
      <c r="M584" s="15"/>
      <c r="N584" s="15"/>
      <c r="O584" s="15"/>
      <c r="P584" s="15"/>
      <c r="Q584" s="11"/>
      <c r="R584" s="11"/>
      <c r="S584" s="11"/>
      <c r="T584" s="11"/>
      <c r="U584" s="15"/>
      <c r="V584" s="11"/>
      <c r="W584" s="11"/>
      <c r="X584" s="11"/>
      <c r="Y584" s="11"/>
      <c r="Z584" s="11"/>
    </row>
    <row r="585">
      <c r="A585" s="18"/>
      <c r="B585" s="11"/>
      <c r="C585" s="11"/>
      <c r="D585" s="11"/>
      <c r="E585" s="11"/>
      <c r="F585" s="11"/>
      <c r="G585" s="11"/>
      <c r="H585" s="11"/>
      <c r="I585" s="11"/>
      <c r="J585" s="11"/>
      <c r="K585" s="11"/>
      <c r="L585" s="15"/>
      <c r="M585" s="15"/>
      <c r="N585" s="15"/>
      <c r="O585" s="15"/>
      <c r="P585" s="15"/>
      <c r="Q585" s="11"/>
      <c r="R585" s="11"/>
      <c r="S585" s="11"/>
      <c r="T585" s="11"/>
      <c r="U585" s="15"/>
      <c r="V585" s="11"/>
      <c r="W585" s="11"/>
      <c r="X585" s="11"/>
      <c r="Y585" s="11"/>
      <c r="Z585" s="11"/>
    </row>
    <row r="586">
      <c r="A586" s="18"/>
      <c r="B586" s="11"/>
      <c r="C586" s="11"/>
      <c r="D586" s="11"/>
      <c r="E586" s="11"/>
      <c r="F586" s="11"/>
      <c r="G586" s="11"/>
      <c r="H586" s="11"/>
      <c r="I586" s="11"/>
      <c r="J586" s="11"/>
      <c r="K586" s="11"/>
      <c r="L586" s="15"/>
      <c r="M586" s="15"/>
      <c r="N586" s="15"/>
      <c r="O586" s="15"/>
      <c r="P586" s="15"/>
      <c r="Q586" s="11"/>
      <c r="R586" s="11"/>
      <c r="S586" s="11"/>
      <c r="T586" s="11"/>
      <c r="U586" s="15"/>
      <c r="V586" s="11"/>
      <c r="W586" s="11"/>
      <c r="X586" s="11"/>
      <c r="Y586" s="11"/>
      <c r="Z586" s="11"/>
    </row>
    <row r="587">
      <c r="A587" s="18"/>
      <c r="B587" s="11"/>
      <c r="C587" s="11"/>
      <c r="D587" s="11"/>
      <c r="E587" s="11"/>
      <c r="F587" s="11"/>
      <c r="G587" s="11"/>
      <c r="H587" s="11"/>
      <c r="I587" s="11"/>
      <c r="J587" s="11"/>
      <c r="K587" s="11"/>
      <c r="L587" s="15"/>
      <c r="M587" s="15"/>
      <c r="N587" s="15"/>
      <c r="O587" s="15"/>
      <c r="P587" s="15"/>
      <c r="Q587" s="11"/>
      <c r="R587" s="11"/>
      <c r="S587" s="11"/>
      <c r="T587" s="11"/>
      <c r="U587" s="15"/>
      <c r="V587" s="11"/>
      <c r="W587" s="11"/>
      <c r="X587" s="11"/>
      <c r="Y587" s="11"/>
      <c r="Z587" s="11"/>
    </row>
    <row r="588">
      <c r="A588" s="18"/>
      <c r="B588" s="11"/>
      <c r="C588" s="11"/>
      <c r="D588" s="11"/>
      <c r="E588" s="11"/>
      <c r="F588" s="11"/>
      <c r="G588" s="11"/>
      <c r="H588" s="11"/>
      <c r="I588" s="11"/>
      <c r="J588" s="11"/>
      <c r="K588" s="11"/>
      <c r="L588" s="15"/>
      <c r="M588" s="15"/>
      <c r="N588" s="15"/>
      <c r="O588" s="15"/>
      <c r="P588" s="15"/>
      <c r="Q588" s="11"/>
      <c r="R588" s="11"/>
      <c r="S588" s="11"/>
      <c r="T588" s="11"/>
      <c r="U588" s="15"/>
      <c r="V588" s="11"/>
      <c r="W588" s="11"/>
      <c r="X588" s="11"/>
      <c r="Y588" s="11"/>
      <c r="Z588" s="11"/>
    </row>
    <row r="589">
      <c r="A589" s="18"/>
      <c r="B589" s="11"/>
      <c r="C589" s="11"/>
      <c r="D589" s="11"/>
      <c r="E589" s="11"/>
      <c r="F589" s="11"/>
      <c r="G589" s="11"/>
      <c r="H589" s="11"/>
      <c r="I589" s="11"/>
      <c r="J589" s="11"/>
      <c r="K589" s="11"/>
      <c r="L589" s="15"/>
      <c r="M589" s="15"/>
      <c r="N589" s="15"/>
      <c r="O589" s="15"/>
      <c r="P589" s="15"/>
      <c r="Q589" s="11"/>
      <c r="R589" s="11"/>
      <c r="S589" s="11"/>
      <c r="T589" s="11"/>
      <c r="U589" s="15"/>
      <c r="V589" s="11"/>
      <c r="W589" s="11"/>
      <c r="X589" s="11"/>
      <c r="Y589" s="11"/>
      <c r="Z589" s="11"/>
    </row>
    <row r="590">
      <c r="A590" s="18"/>
      <c r="B590" s="11"/>
      <c r="C590" s="11"/>
      <c r="D590" s="11"/>
      <c r="E590" s="11"/>
      <c r="F590" s="11"/>
      <c r="G590" s="11"/>
      <c r="H590" s="11"/>
      <c r="I590" s="11"/>
      <c r="J590" s="11"/>
      <c r="K590" s="11"/>
      <c r="L590" s="15"/>
      <c r="M590" s="15"/>
      <c r="N590" s="15"/>
      <c r="O590" s="15"/>
      <c r="P590" s="15"/>
      <c r="Q590" s="11"/>
      <c r="R590" s="11"/>
      <c r="S590" s="11"/>
      <c r="T590" s="11"/>
      <c r="U590" s="15"/>
      <c r="V590" s="11"/>
      <c r="W590" s="11"/>
      <c r="X590" s="11"/>
      <c r="Y590" s="11"/>
      <c r="Z590" s="11"/>
    </row>
    <row r="591">
      <c r="A591" s="18"/>
      <c r="B591" s="11"/>
      <c r="C591" s="11"/>
      <c r="D591" s="11"/>
      <c r="E591" s="11"/>
      <c r="F591" s="11"/>
      <c r="G591" s="11"/>
      <c r="H591" s="11"/>
      <c r="I591" s="11"/>
      <c r="J591" s="11"/>
      <c r="K591" s="11"/>
      <c r="L591" s="15"/>
      <c r="M591" s="15"/>
      <c r="N591" s="15"/>
      <c r="O591" s="15"/>
      <c r="P591" s="15"/>
      <c r="Q591" s="11"/>
      <c r="R591" s="11"/>
      <c r="S591" s="11"/>
      <c r="T591" s="11"/>
      <c r="U591" s="15"/>
      <c r="V591" s="11"/>
      <c r="W591" s="11"/>
      <c r="X591" s="11"/>
      <c r="Y591" s="11"/>
      <c r="Z591" s="11"/>
    </row>
    <row r="592">
      <c r="A592" s="18"/>
      <c r="B592" s="11"/>
      <c r="C592" s="11"/>
      <c r="D592" s="11"/>
      <c r="E592" s="11"/>
      <c r="F592" s="11"/>
      <c r="G592" s="11"/>
      <c r="H592" s="11"/>
      <c r="I592" s="11"/>
      <c r="J592" s="11"/>
      <c r="K592" s="11"/>
      <c r="L592" s="15"/>
      <c r="M592" s="15"/>
      <c r="N592" s="15"/>
      <c r="O592" s="15"/>
      <c r="P592" s="15"/>
      <c r="Q592" s="11"/>
      <c r="R592" s="11"/>
      <c r="S592" s="11"/>
      <c r="T592" s="11"/>
      <c r="U592" s="15"/>
      <c r="V592" s="11"/>
      <c r="W592" s="11"/>
      <c r="X592" s="11"/>
      <c r="Y592" s="11"/>
      <c r="Z592" s="11"/>
    </row>
    <row r="593">
      <c r="A593" s="18"/>
      <c r="B593" s="11"/>
      <c r="C593" s="11"/>
      <c r="D593" s="11"/>
      <c r="E593" s="11"/>
      <c r="F593" s="11"/>
      <c r="G593" s="11"/>
      <c r="H593" s="11"/>
      <c r="I593" s="11"/>
      <c r="J593" s="11"/>
      <c r="K593" s="11"/>
      <c r="L593" s="15"/>
      <c r="M593" s="15"/>
      <c r="N593" s="15"/>
      <c r="O593" s="15"/>
      <c r="P593" s="15"/>
      <c r="Q593" s="11"/>
      <c r="R593" s="11"/>
      <c r="S593" s="11"/>
      <c r="T593" s="11"/>
      <c r="U593" s="15"/>
      <c r="V593" s="11"/>
      <c r="W593" s="11"/>
      <c r="X593" s="11"/>
      <c r="Y593" s="11"/>
      <c r="Z593" s="11"/>
    </row>
    <row r="594">
      <c r="A594" s="18"/>
      <c r="B594" s="11"/>
      <c r="C594" s="11"/>
      <c r="D594" s="11"/>
      <c r="E594" s="11"/>
      <c r="F594" s="11"/>
      <c r="G594" s="11"/>
      <c r="H594" s="11"/>
      <c r="I594" s="11"/>
      <c r="J594" s="11"/>
      <c r="K594" s="11"/>
      <c r="L594" s="15"/>
      <c r="M594" s="15"/>
      <c r="N594" s="15"/>
      <c r="O594" s="15"/>
      <c r="P594" s="15"/>
      <c r="Q594" s="11"/>
      <c r="R594" s="11"/>
      <c r="S594" s="11"/>
      <c r="T594" s="11"/>
      <c r="U594" s="15"/>
      <c r="V594" s="11"/>
      <c r="W594" s="11"/>
      <c r="X594" s="11"/>
      <c r="Y594" s="11"/>
      <c r="Z594" s="11"/>
    </row>
    <row r="595">
      <c r="A595" s="18"/>
      <c r="B595" s="11"/>
      <c r="C595" s="11"/>
      <c r="D595" s="11"/>
      <c r="E595" s="11"/>
      <c r="F595" s="11"/>
      <c r="G595" s="11"/>
      <c r="H595" s="11"/>
      <c r="I595" s="11"/>
      <c r="J595" s="11"/>
      <c r="K595" s="11"/>
      <c r="L595" s="15"/>
      <c r="M595" s="15"/>
      <c r="N595" s="15"/>
      <c r="O595" s="15"/>
      <c r="P595" s="15"/>
      <c r="Q595" s="11"/>
      <c r="R595" s="11"/>
      <c r="S595" s="11"/>
      <c r="T595" s="11"/>
      <c r="U595" s="15"/>
      <c r="V595" s="11"/>
      <c r="W595" s="11"/>
      <c r="X595" s="11"/>
      <c r="Y595" s="11"/>
      <c r="Z595" s="11"/>
    </row>
    <row r="596">
      <c r="A596" s="18"/>
      <c r="B596" s="11"/>
      <c r="C596" s="11"/>
      <c r="D596" s="11"/>
      <c r="E596" s="11"/>
      <c r="F596" s="11"/>
      <c r="G596" s="11"/>
      <c r="H596" s="11"/>
      <c r="I596" s="11"/>
      <c r="J596" s="11"/>
      <c r="K596" s="11"/>
      <c r="L596" s="15"/>
      <c r="M596" s="15"/>
      <c r="N596" s="15"/>
      <c r="O596" s="15"/>
      <c r="P596" s="15"/>
      <c r="Q596" s="11"/>
      <c r="R596" s="11"/>
      <c r="S596" s="11"/>
      <c r="T596" s="11"/>
      <c r="U596" s="15"/>
      <c r="V596" s="11"/>
      <c r="W596" s="11"/>
      <c r="X596" s="11"/>
      <c r="Y596" s="11"/>
      <c r="Z596" s="11"/>
    </row>
    <row r="597">
      <c r="A597" s="18"/>
      <c r="B597" s="11"/>
      <c r="C597" s="11"/>
      <c r="D597" s="11"/>
      <c r="E597" s="11"/>
      <c r="F597" s="11"/>
      <c r="G597" s="11"/>
      <c r="H597" s="11"/>
      <c r="I597" s="11"/>
      <c r="J597" s="11"/>
      <c r="K597" s="11"/>
      <c r="L597" s="15"/>
      <c r="M597" s="15"/>
      <c r="N597" s="15"/>
      <c r="O597" s="15"/>
      <c r="P597" s="15"/>
      <c r="Q597" s="11"/>
      <c r="R597" s="11"/>
      <c r="S597" s="11"/>
      <c r="T597" s="11"/>
      <c r="U597" s="15"/>
      <c r="V597" s="11"/>
      <c r="W597" s="11"/>
      <c r="X597" s="11"/>
      <c r="Y597" s="11"/>
      <c r="Z597" s="11"/>
    </row>
    <row r="598">
      <c r="A598" s="18"/>
      <c r="B598" s="11"/>
      <c r="C598" s="11"/>
      <c r="D598" s="11"/>
      <c r="E598" s="11"/>
      <c r="F598" s="11"/>
      <c r="G598" s="11"/>
      <c r="H598" s="11"/>
      <c r="I598" s="11"/>
      <c r="J598" s="11"/>
      <c r="K598" s="11"/>
      <c r="L598" s="15"/>
      <c r="M598" s="15"/>
      <c r="N598" s="15"/>
      <c r="O598" s="15"/>
      <c r="P598" s="15"/>
      <c r="Q598" s="11"/>
      <c r="R598" s="11"/>
      <c r="S598" s="11"/>
      <c r="T598" s="11"/>
      <c r="U598" s="15"/>
      <c r="V598" s="11"/>
      <c r="W598" s="11"/>
      <c r="X598" s="11"/>
      <c r="Y598" s="11"/>
      <c r="Z598" s="11"/>
    </row>
    <row r="599">
      <c r="A599" s="18"/>
      <c r="B599" s="11"/>
      <c r="C599" s="11"/>
      <c r="D599" s="11"/>
      <c r="E599" s="11"/>
      <c r="F599" s="11"/>
      <c r="G599" s="11"/>
      <c r="H599" s="11"/>
      <c r="I599" s="11"/>
      <c r="J599" s="11"/>
      <c r="K599" s="11"/>
      <c r="L599" s="15"/>
      <c r="M599" s="15"/>
      <c r="N599" s="15"/>
      <c r="O599" s="15"/>
      <c r="P599" s="15"/>
      <c r="Q599" s="11"/>
      <c r="R599" s="11"/>
      <c r="S599" s="11"/>
      <c r="T599" s="11"/>
      <c r="U599" s="15"/>
      <c r="V599" s="11"/>
      <c r="W599" s="11"/>
      <c r="X599" s="11"/>
      <c r="Y599" s="11"/>
      <c r="Z599" s="11"/>
    </row>
    <row r="600">
      <c r="A600" s="18"/>
      <c r="B600" s="11"/>
      <c r="C600" s="11"/>
      <c r="D600" s="11"/>
      <c r="E600" s="11"/>
      <c r="F600" s="11"/>
      <c r="G600" s="11"/>
      <c r="H600" s="11"/>
      <c r="I600" s="11"/>
      <c r="J600" s="11"/>
      <c r="K600" s="11"/>
      <c r="L600" s="15"/>
      <c r="M600" s="15"/>
      <c r="N600" s="15"/>
      <c r="O600" s="15"/>
      <c r="P600" s="15"/>
      <c r="Q600" s="11"/>
      <c r="R600" s="11"/>
      <c r="S600" s="11"/>
      <c r="T600" s="11"/>
      <c r="U600" s="15"/>
      <c r="V600" s="11"/>
      <c r="W600" s="11"/>
      <c r="X600" s="11"/>
      <c r="Y600" s="11"/>
      <c r="Z600" s="11"/>
    </row>
    <row r="601">
      <c r="A601" s="18"/>
      <c r="B601" s="11"/>
      <c r="C601" s="11"/>
      <c r="D601" s="11"/>
      <c r="E601" s="11"/>
      <c r="F601" s="11"/>
      <c r="G601" s="11"/>
      <c r="H601" s="11"/>
      <c r="I601" s="11"/>
      <c r="J601" s="11"/>
      <c r="K601" s="11"/>
      <c r="L601" s="15"/>
      <c r="M601" s="15"/>
      <c r="N601" s="15"/>
      <c r="O601" s="15"/>
      <c r="P601" s="15"/>
      <c r="Q601" s="11"/>
      <c r="R601" s="11"/>
      <c r="S601" s="11"/>
      <c r="T601" s="11"/>
      <c r="U601" s="15"/>
      <c r="V601" s="11"/>
      <c r="W601" s="11"/>
      <c r="X601" s="11"/>
      <c r="Y601" s="11"/>
      <c r="Z601" s="11"/>
    </row>
    <row r="602">
      <c r="A602" s="18"/>
      <c r="B602" s="11"/>
      <c r="C602" s="11"/>
      <c r="D602" s="11"/>
      <c r="E602" s="11"/>
      <c r="F602" s="11"/>
      <c r="G602" s="11"/>
      <c r="H602" s="11"/>
      <c r="I602" s="11"/>
      <c r="J602" s="11"/>
      <c r="K602" s="11"/>
      <c r="L602" s="15"/>
      <c r="M602" s="15"/>
      <c r="N602" s="15"/>
      <c r="O602" s="15"/>
      <c r="P602" s="15"/>
      <c r="Q602" s="11"/>
      <c r="R602" s="11"/>
      <c r="S602" s="11"/>
      <c r="T602" s="11"/>
      <c r="U602" s="15"/>
      <c r="V602" s="11"/>
      <c r="W602" s="11"/>
      <c r="X602" s="11"/>
      <c r="Y602" s="11"/>
      <c r="Z602" s="11"/>
    </row>
    <row r="603">
      <c r="A603" s="18"/>
      <c r="B603" s="11"/>
      <c r="C603" s="11"/>
      <c r="D603" s="11"/>
      <c r="E603" s="11"/>
      <c r="F603" s="11"/>
      <c r="G603" s="11"/>
      <c r="H603" s="11"/>
      <c r="I603" s="11"/>
      <c r="J603" s="11"/>
      <c r="K603" s="11"/>
      <c r="L603" s="15"/>
      <c r="M603" s="15"/>
      <c r="N603" s="15"/>
      <c r="O603" s="15"/>
      <c r="P603" s="15"/>
      <c r="Q603" s="11"/>
      <c r="R603" s="11"/>
      <c r="S603" s="11"/>
      <c r="T603" s="11"/>
      <c r="U603" s="15"/>
      <c r="V603" s="11"/>
      <c r="W603" s="11"/>
      <c r="X603" s="11"/>
      <c r="Y603" s="11"/>
      <c r="Z603" s="11"/>
    </row>
    <row r="604">
      <c r="A604" s="18"/>
      <c r="B604" s="11"/>
      <c r="C604" s="11"/>
      <c r="D604" s="11"/>
      <c r="E604" s="11"/>
      <c r="F604" s="11"/>
      <c r="G604" s="11"/>
      <c r="H604" s="11"/>
      <c r="I604" s="11"/>
      <c r="J604" s="11"/>
      <c r="K604" s="11"/>
      <c r="L604" s="15"/>
      <c r="M604" s="15"/>
      <c r="N604" s="15"/>
      <c r="O604" s="15"/>
      <c r="P604" s="15"/>
      <c r="Q604" s="11"/>
      <c r="R604" s="11"/>
      <c r="S604" s="11"/>
      <c r="T604" s="11"/>
      <c r="U604" s="15"/>
      <c r="V604" s="11"/>
      <c r="W604" s="11"/>
      <c r="X604" s="11"/>
      <c r="Y604" s="11"/>
      <c r="Z604" s="11"/>
    </row>
    <row r="605">
      <c r="A605" s="18"/>
      <c r="B605" s="11"/>
      <c r="C605" s="11"/>
      <c r="D605" s="11"/>
      <c r="E605" s="11"/>
      <c r="F605" s="11"/>
      <c r="G605" s="11"/>
      <c r="H605" s="11"/>
      <c r="I605" s="11"/>
      <c r="J605" s="11"/>
      <c r="K605" s="11"/>
      <c r="L605" s="15"/>
      <c r="M605" s="15"/>
      <c r="N605" s="15"/>
      <c r="O605" s="15"/>
      <c r="P605" s="15"/>
      <c r="Q605" s="11"/>
      <c r="R605" s="11"/>
      <c r="S605" s="11"/>
      <c r="T605" s="11"/>
      <c r="U605" s="15"/>
      <c r="V605" s="11"/>
      <c r="W605" s="11"/>
      <c r="X605" s="11"/>
      <c r="Y605" s="11"/>
      <c r="Z605" s="11"/>
    </row>
    <row r="606">
      <c r="A606" s="18"/>
      <c r="B606" s="11"/>
      <c r="C606" s="11"/>
      <c r="D606" s="11"/>
      <c r="E606" s="11"/>
      <c r="F606" s="11"/>
      <c r="G606" s="11"/>
      <c r="H606" s="11"/>
      <c r="I606" s="11"/>
      <c r="J606" s="11"/>
      <c r="K606" s="11"/>
      <c r="L606" s="15"/>
      <c r="M606" s="15"/>
      <c r="N606" s="15"/>
      <c r="O606" s="15"/>
      <c r="P606" s="15"/>
      <c r="Q606" s="11"/>
      <c r="R606" s="11"/>
      <c r="S606" s="11"/>
      <c r="T606" s="11"/>
      <c r="U606" s="15"/>
      <c r="V606" s="11"/>
      <c r="W606" s="11"/>
      <c r="X606" s="11"/>
      <c r="Y606" s="11"/>
      <c r="Z606" s="11"/>
    </row>
    <row r="607">
      <c r="A607" s="18"/>
      <c r="B607" s="11"/>
      <c r="C607" s="11"/>
      <c r="D607" s="11"/>
      <c r="E607" s="11"/>
      <c r="F607" s="11"/>
      <c r="G607" s="11"/>
      <c r="H607" s="11"/>
      <c r="I607" s="11"/>
      <c r="J607" s="11"/>
      <c r="K607" s="11"/>
      <c r="L607" s="15"/>
      <c r="M607" s="15"/>
      <c r="N607" s="15"/>
      <c r="O607" s="15"/>
      <c r="P607" s="15"/>
      <c r="Q607" s="11"/>
      <c r="R607" s="11"/>
      <c r="S607" s="11"/>
      <c r="T607" s="11"/>
      <c r="U607" s="15"/>
      <c r="V607" s="11"/>
      <c r="W607" s="11"/>
      <c r="X607" s="11"/>
      <c r="Y607" s="11"/>
      <c r="Z607" s="11"/>
    </row>
    <row r="608">
      <c r="A608" s="18"/>
      <c r="B608" s="11"/>
      <c r="C608" s="11"/>
      <c r="D608" s="11"/>
      <c r="E608" s="11"/>
      <c r="F608" s="11"/>
      <c r="G608" s="11"/>
      <c r="H608" s="11"/>
      <c r="I608" s="11"/>
      <c r="J608" s="11"/>
      <c r="K608" s="11"/>
      <c r="L608" s="15"/>
      <c r="M608" s="15"/>
      <c r="N608" s="15"/>
      <c r="O608" s="15"/>
      <c r="P608" s="15"/>
      <c r="Q608" s="11"/>
      <c r="R608" s="11"/>
      <c r="S608" s="11"/>
      <c r="T608" s="11"/>
      <c r="U608" s="15"/>
      <c r="V608" s="11"/>
      <c r="W608" s="11"/>
      <c r="X608" s="11"/>
      <c r="Y608" s="11"/>
      <c r="Z608" s="11"/>
    </row>
    <row r="609">
      <c r="A609" s="18"/>
      <c r="B609" s="11"/>
      <c r="C609" s="11"/>
      <c r="D609" s="11"/>
      <c r="E609" s="11"/>
      <c r="F609" s="11"/>
      <c r="G609" s="11"/>
      <c r="H609" s="11"/>
      <c r="I609" s="11"/>
      <c r="J609" s="11"/>
      <c r="K609" s="11"/>
      <c r="L609" s="15"/>
      <c r="M609" s="15"/>
      <c r="N609" s="15"/>
      <c r="O609" s="15"/>
      <c r="P609" s="15"/>
      <c r="Q609" s="11"/>
      <c r="R609" s="11"/>
      <c r="S609" s="11"/>
      <c r="T609" s="11"/>
      <c r="U609" s="15"/>
      <c r="V609" s="11"/>
      <c r="W609" s="11"/>
      <c r="X609" s="11"/>
      <c r="Y609" s="11"/>
      <c r="Z609" s="11"/>
    </row>
    <row r="610">
      <c r="A610" s="18"/>
      <c r="B610" s="11"/>
      <c r="C610" s="11"/>
      <c r="D610" s="11"/>
      <c r="E610" s="11"/>
      <c r="F610" s="11"/>
      <c r="G610" s="11"/>
      <c r="H610" s="11"/>
      <c r="I610" s="11"/>
      <c r="J610" s="11"/>
      <c r="K610" s="11"/>
      <c r="L610" s="15"/>
      <c r="M610" s="15"/>
      <c r="N610" s="15"/>
      <c r="O610" s="15"/>
      <c r="P610" s="15"/>
      <c r="Q610" s="11"/>
      <c r="R610" s="11"/>
      <c r="S610" s="11"/>
      <c r="T610" s="11"/>
      <c r="U610" s="15"/>
      <c r="V610" s="11"/>
      <c r="W610" s="11"/>
      <c r="X610" s="11"/>
      <c r="Y610" s="11"/>
      <c r="Z610" s="11"/>
    </row>
    <row r="611">
      <c r="A611" s="18"/>
      <c r="B611" s="11"/>
      <c r="C611" s="11"/>
      <c r="D611" s="11"/>
      <c r="E611" s="11"/>
      <c r="F611" s="11"/>
      <c r="G611" s="11"/>
      <c r="H611" s="11"/>
      <c r="I611" s="11"/>
      <c r="J611" s="11"/>
      <c r="K611" s="11"/>
      <c r="L611" s="15"/>
      <c r="M611" s="15"/>
      <c r="N611" s="15"/>
      <c r="O611" s="15"/>
      <c r="P611" s="15"/>
      <c r="Q611" s="11"/>
      <c r="R611" s="11"/>
      <c r="S611" s="11"/>
      <c r="T611" s="11"/>
      <c r="U611" s="15"/>
      <c r="V611" s="11"/>
      <c r="W611" s="11"/>
      <c r="X611" s="11"/>
      <c r="Y611" s="11"/>
      <c r="Z611" s="11"/>
    </row>
    <row r="612">
      <c r="A612" s="18"/>
      <c r="B612" s="11"/>
      <c r="C612" s="11"/>
      <c r="D612" s="11"/>
      <c r="E612" s="11"/>
      <c r="F612" s="11"/>
      <c r="G612" s="11"/>
      <c r="H612" s="11"/>
      <c r="I612" s="11"/>
      <c r="J612" s="11"/>
      <c r="K612" s="11"/>
      <c r="L612" s="15"/>
      <c r="M612" s="15"/>
      <c r="N612" s="15"/>
      <c r="O612" s="15"/>
      <c r="P612" s="15"/>
      <c r="Q612" s="11"/>
      <c r="R612" s="11"/>
      <c r="S612" s="11"/>
      <c r="T612" s="11"/>
      <c r="U612" s="15"/>
      <c r="V612" s="11"/>
      <c r="W612" s="11"/>
      <c r="X612" s="11"/>
      <c r="Y612" s="11"/>
      <c r="Z612" s="11"/>
    </row>
    <row r="613">
      <c r="A613" s="18"/>
      <c r="B613" s="11"/>
      <c r="C613" s="11"/>
      <c r="D613" s="11"/>
      <c r="E613" s="11"/>
      <c r="F613" s="11"/>
      <c r="G613" s="11"/>
      <c r="H613" s="11"/>
      <c r="I613" s="11"/>
      <c r="J613" s="11"/>
      <c r="K613" s="11"/>
      <c r="L613" s="15"/>
      <c r="M613" s="15"/>
      <c r="N613" s="15"/>
      <c r="O613" s="15"/>
      <c r="P613" s="15"/>
      <c r="Q613" s="11"/>
      <c r="R613" s="11"/>
      <c r="S613" s="11"/>
      <c r="T613" s="11"/>
      <c r="U613" s="15"/>
      <c r="V613" s="11"/>
      <c r="W613" s="11"/>
      <c r="X613" s="11"/>
      <c r="Y613" s="11"/>
      <c r="Z613" s="11"/>
    </row>
    <row r="614">
      <c r="A614" s="18"/>
      <c r="B614" s="11"/>
      <c r="C614" s="11"/>
      <c r="D614" s="11"/>
      <c r="E614" s="11"/>
      <c r="F614" s="11"/>
      <c r="G614" s="11"/>
      <c r="H614" s="11"/>
      <c r="I614" s="11"/>
      <c r="J614" s="11"/>
      <c r="K614" s="11"/>
      <c r="L614" s="15"/>
      <c r="M614" s="15"/>
      <c r="N614" s="15"/>
      <c r="O614" s="15"/>
      <c r="P614" s="15"/>
      <c r="Q614" s="11"/>
      <c r="R614" s="11"/>
      <c r="S614" s="11"/>
      <c r="T614" s="11"/>
      <c r="U614" s="15"/>
      <c r="V614" s="11"/>
      <c r="W614" s="11"/>
      <c r="X614" s="11"/>
      <c r="Y614" s="11"/>
      <c r="Z614" s="11"/>
    </row>
    <row r="615">
      <c r="A615" s="18"/>
      <c r="B615" s="11"/>
      <c r="C615" s="11"/>
      <c r="D615" s="11"/>
      <c r="E615" s="11"/>
      <c r="F615" s="11"/>
      <c r="G615" s="11"/>
      <c r="H615" s="11"/>
      <c r="I615" s="11"/>
      <c r="J615" s="11"/>
      <c r="K615" s="11"/>
      <c r="L615" s="15"/>
      <c r="M615" s="15"/>
      <c r="N615" s="15"/>
      <c r="O615" s="15"/>
      <c r="P615" s="15"/>
      <c r="Q615" s="11"/>
      <c r="R615" s="11"/>
      <c r="S615" s="11"/>
      <c r="T615" s="11"/>
      <c r="U615" s="15"/>
      <c r="V615" s="11"/>
      <c r="W615" s="11"/>
      <c r="X615" s="11"/>
      <c r="Y615" s="11"/>
      <c r="Z615" s="11"/>
    </row>
    <row r="616">
      <c r="A616" s="18"/>
      <c r="B616" s="11"/>
      <c r="C616" s="11"/>
      <c r="D616" s="11"/>
      <c r="E616" s="11"/>
      <c r="F616" s="11"/>
      <c r="G616" s="11"/>
      <c r="H616" s="11"/>
      <c r="I616" s="11"/>
      <c r="J616" s="11"/>
      <c r="K616" s="11"/>
      <c r="L616" s="15"/>
      <c r="M616" s="15"/>
      <c r="N616" s="15"/>
      <c r="O616" s="15"/>
      <c r="P616" s="15"/>
      <c r="Q616" s="11"/>
      <c r="R616" s="11"/>
      <c r="S616" s="11"/>
      <c r="T616" s="11"/>
      <c r="U616" s="15"/>
      <c r="V616" s="11"/>
      <c r="W616" s="11"/>
      <c r="X616" s="11"/>
      <c r="Y616" s="11"/>
      <c r="Z616" s="11"/>
    </row>
    <row r="617">
      <c r="A617" s="18"/>
      <c r="B617" s="11"/>
      <c r="C617" s="11"/>
      <c r="D617" s="11"/>
      <c r="E617" s="11"/>
      <c r="F617" s="11"/>
      <c r="G617" s="11"/>
      <c r="H617" s="11"/>
      <c r="I617" s="11"/>
      <c r="J617" s="11"/>
      <c r="K617" s="11"/>
      <c r="L617" s="15"/>
      <c r="M617" s="15"/>
      <c r="N617" s="15"/>
      <c r="O617" s="15"/>
      <c r="P617" s="15"/>
      <c r="Q617" s="11"/>
      <c r="R617" s="11"/>
      <c r="S617" s="11"/>
      <c r="T617" s="11"/>
      <c r="U617" s="15"/>
      <c r="V617" s="11"/>
      <c r="W617" s="11"/>
      <c r="X617" s="11"/>
      <c r="Y617" s="11"/>
      <c r="Z617" s="11"/>
    </row>
    <row r="618">
      <c r="A618" s="18"/>
      <c r="B618" s="11"/>
      <c r="C618" s="11"/>
      <c r="D618" s="11"/>
      <c r="E618" s="11"/>
      <c r="F618" s="11"/>
      <c r="G618" s="11"/>
      <c r="H618" s="11"/>
      <c r="I618" s="11"/>
      <c r="J618" s="11"/>
      <c r="K618" s="11"/>
      <c r="L618" s="15"/>
      <c r="M618" s="15"/>
      <c r="N618" s="15"/>
      <c r="O618" s="15"/>
      <c r="P618" s="15"/>
      <c r="Q618" s="11"/>
      <c r="R618" s="11"/>
      <c r="S618" s="11"/>
      <c r="T618" s="11"/>
      <c r="U618" s="15"/>
      <c r="V618" s="11"/>
      <c r="W618" s="11"/>
      <c r="X618" s="11"/>
      <c r="Y618" s="11"/>
      <c r="Z618" s="11"/>
    </row>
    <row r="619">
      <c r="A619" s="18"/>
      <c r="B619" s="11"/>
      <c r="C619" s="11"/>
      <c r="D619" s="11"/>
      <c r="E619" s="11"/>
      <c r="F619" s="11"/>
      <c r="G619" s="11"/>
      <c r="H619" s="11"/>
      <c r="I619" s="11"/>
      <c r="J619" s="11"/>
      <c r="K619" s="11"/>
      <c r="L619" s="15"/>
      <c r="M619" s="15"/>
      <c r="N619" s="15"/>
      <c r="O619" s="15"/>
      <c r="P619" s="15"/>
      <c r="Q619" s="11"/>
      <c r="R619" s="11"/>
      <c r="S619" s="11"/>
      <c r="T619" s="11"/>
      <c r="U619" s="15"/>
      <c r="V619" s="11"/>
      <c r="W619" s="11"/>
      <c r="X619" s="11"/>
      <c r="Y619" s="11"/>
      <c r="Z619" s="11"/>
    </row>
    <row r="620">
      <c r="A620" s="18"/>
      <c r="B620" s="11"/>
      <c r="C620" s="11"/>
      <c r="D620" s="11"/>
      <c r="E620" s="11"/>
      <c r="F620" s="11"/>
      <c r="G620" s="11"/>
      <c r="H620" s="11"/>
      <c r="I620" s="11"/>
      <c r="J620" s="11"/>
      <c r="K620" s="11"/>
      <c r="L620" s="15"/>
      <c r="M620" s="15"/>
      <c r="N620" s="15"/>
      <c r="O620" s="15"/>
      <c r="P620" s="15"/>
      <c r="Q620" s="11"/>
      <c r="R620" s="11"/>
      <c r="S620" s="11"/>
      <c r="T620" s="11"/>
      <c r="U620" s="15"/>
      <c r="V620" s="11"/>
      <c r="W620" s="11"/>
      <c r="X620" s="11"/>
      <c r="Y620" s="11"/>
      <c r="Z620" s="11"/>
    </row>
    <row r="621">
      <c r="A621" s="18"/>
      <c r="B621" s="11"/>
      <c r="C621" s="11"/>
      <c r="D621" s="11"/>
      <c r="E621" s="11"/>
      <c r="F621" s="11"/>
      <c r="G621" s="11"/>
      <c r="H621" s="11"/>
      <c r="I621" s="11"/>
      <c r="J621" s="11"/>
      <c r="K621" s="11"/>
      <c r="L621" s="15"/>
      <c r="M621" s="15"/>
      <c r="N621" s="15"/>
      <c r="O621" s="15"/>
      <c r="P621" s="15"/>
      <c r="Q621" s="11"/>
      <c r="R621" s="11"/>
      <c r="S621" s="11"/>
      <c r="T621" s="11"/>
      <c r="U621" s="15"/>
      <c r="V621" s="11"/>
      <c r="W621" s="11"/>
      <c r="X621" s="11"/>
      <c r="Y621" s="11"/>
      <c r="Z621" s="11"/>
    </row>
    <row r="622">
      <c r="A622" s="18"/>
      <c r="B622" s="11"/>
      <c r="C622" s="11"/>
      <c r="D622" s="11"/>
      <c r="E622" s="11"/>
      <c r="F622" s="11"/>
      <c r="G622" s="11"/>
      <c r="H622" s="11"/>
      <c r="I622" s="11"/>
      <c r="J622" s="11"/>
      <c r="K622" s="11"/>
      <c r="L622" s="15"/>
      <c r="M622" s="15"/>
      <c r="N622" s="15"/>
      <c r="O622" s="15"/>
      <c r="P622" s="15"/>
      <c r="Q622" s="11"/>
      <c r="R622" s="11"/>
      <c r="S622" s="11"/>
      <c r="T622" s="11"/>
      <c r="U622" s="15"/>
      <c r="V622" s="11"/>
      <c r="W622" s="11"/>
      <c r="X622" s="11"/>
      <c r="Y622" s="11"/>
      <c r="Z622" s="11"/>
    </row>
    <row r="623">
      <c r="A623" s="18"/>
      <c r="B623" s="11"/>
      <c r="C623" s="11"/>
      <c r="D623" s="11"/>
      <c r="E623" s="11"/>
      <c r="F623" s="11"/>
      <c r="G623" s="11"/>
      <c r="H623" s="11"/>
      <c r="I623" s="11"/>
      <c r="J623" s="11"/>
      <c r="K623" s="11"/>
      <c r="L623" s="15"/>
      <c r="M623" s="15"/>
      <c r="N623" s="15"/>
      <c r="O623" s="15"/>
      <c r="P623" s="15"/>
      <c r="Q623" s="11"/>
      <c r="R623" s="11"/>
      <c r="S623" s="11"/>
      <c r="T623" s="11"/>
      <c r="U623" s="15"/>
      <c r="V623" s="11"/>
      <c r="W623" s="11"/>
      <c r="X623" s="11"/>
      <c r="Y623" s="11"/>
      <c r="Z623" s="11"/>
    </row>
    <row r="624">
      <c r="A624" s="18"/>
      <c r="B624" s="11"/>
      <c r="C624" s="11"/>
      <c r="D624" s="11"/>
      <c r="E624" s="11"/>
      <c r="F624" s="11"/>
      <c r="G624" s="11"/>
      <c r="H624" s="11"/>
      <c r="I624" s="11"/>
      <c r="J624" s="11"/>
      <c r="K624" s="11"/>
      <c r="L624" s="15"/>
      <c r="M624" s="15"/>
      <c r="N624" s="15"/>
      <c r="O624" s="15"/>
      <c r="P624" s="15"/>
      <c r="Q624" s="11"/>
      <c r="R624" s="11"/>
      <c r="S624" s="11"/>
      <c r="T624" s="11"/>
      <c r="U624" s="15"/>
      <c r="V624" s="11"/>
      <c r="W624" s="11"/>
      <c r="X624" s="11"/>
      <c r="Y624" s="11"/>
      <c r="Z624" s="11"/>
    </row>
    <row r="625">
      <c r="A625" s="18"/>
      <c r="B625" s="11"/>
      <c r="C625" s="11"/>
      <c r="D625" s="11"/>
      <c r="E625" s="11"/>
      <c r="F625" s="11"/>
      <c r="G625" s="11"/>
      <c r="H625" s="11"/>
      <c r="I625" s="11"/>
      <c r="J625" s="11"/>
      <c r="K625" s="11"/>
      <c r="L625" s="15"/>
      <c r="M625" s="15"/>
      <c r="N625" s="15"/>
      <c r="O625" s="15"/>
      <c r="P625" s="15"/>
      <c r="Q625" s="11"/>
      <c r="R625" s="11"/>
      <c r="S625" s="11"/>
      <c r="T625" s="11"/>
      <c r="U625" s="15"/>
      <c r="V625" s="11"/>
      <c r="W625" s="11"/>
      <c r="X625" s="11"/>
      <c r="Y625" s="11"/>
      <c r="Z625" s="11"/>
    </row>
    <row r="626">
      <c r="A626" s="18"/>
      <c r="B626" s="11"/>
      <c r="C626" s="11"/>
      <c r="D626" s="11"/>
      <c r="E626" s="11"/>
      <c r="F626" s="11"/>
      <c r="G626" s="11"/>
      <c r="H626" s="11"/>
      <c r="I626" s="11"/>
      <c r="J626" s="11"/>
      <c r="K626" s="11"/>
      <c r="L626" s="15"/>
      <c r="M626" s="15"/>
      <c r="N626" s="15"/>
      <c r="O626" s="15"/>
      <c r="P626" s="15"/>
      <c r="Q626" s="11"/>
      <c r="R626" s="11"/>
      <c r="S626" s="11"/>
      <c r="T626" s="11"/>
      <c r="U626" s="15"/>
      <c r="V626" s="11"/>
      <c r="W626" s="11"/>
      <c r="X626" s="11"/>
      <c r="Y626" s="11"/>
      <c r="Z626" s="11"/>
    </row>
    <row r="627">
      <c r="A627" s="18"/>
      <c r="B627" s="11"/>
      <c r="C627" s="11"/>
      <c r="D627" s="11"/>
      <c r="E627" s="11"/>
      <c r="F627" s="11"/>
      <c r="G627" s="11"/>
      <c r="H627" s="11"/>
      <c r="I627" s="11"/>
      <c r="J627" s="11"/>
      <c r="K627" s="11"/>
      <c r="L627" s="15"/>
      <c r="M627" s="15"/>
      <c r="N627" s="15"/>
      <c r="O627" s="15"/>
      <c r="P627" s="15"/>
      <c r="Q627" s="11"/>
      <c r="R627" s="11"/>
      <c r="S627" s="11"/>
      <c r="T627" s="11"/>
      <c r="U627" s="15"/>
      <c r="V627" s="11"/>
      <c r="W627" s="11"/>
      <c r="X627" s="11"/>
      <c r="Y627" s="11"/>
      <c r="Z627" s="11"/>
    </row>
    <row r="628">
      <c r="A628" s="18"/>
      <c r="B628" s="11"/>
      <c r="C628" s="11"/>
      <c r="D628" s="11"/>
      <c r="E628" s="11"/>
      <c r="F628" s="11"/>
      <c r="G628" s="11"/>
      <c r="H628" s="11"/>
      <c r="I628" s="11"/>
      <c r="J628" s="11"/>
      <c r="K628" s="11"/>
      <c r="L628" s="15"/>
      <c r="M628" s="15"/>
      <c r="N628" s="15"/>
      <c r="O628" s="15"/>
      <c r="P628" s="15"/>
      <c r="Q628" s="11"/>
      <c r="R628" s="11"/>
      <c r="S628" s="11"/>
      <c r="T628" s="11"/>
      <c r="U628" s="15"/>
      <c r="V628" s="11"/>
      <c r="W628" s="11"/>
      <c r="X628" s="11"/>
      <c r="Y628" s="11"/>
      <c r="Z628" s="11"/>
    </row>
    <row r="629">
      <c r="A629" s="18"/>
      <c r="B629" s="11"/>
      <c r="C629" s="11"/>
      <c r="D629" s="11"/>
      <c r="E629" s="11"/>
      <c r="F629" s="11"/>
      <c r="G629" s="11"/>
      <c r="H629" s="11"/>
      <c r="I629" s="11"/>
      <c r="J629" s="11"/>
      <c r="K629" s="11"/>
      <c r="L629" s="15"/>
      <c r="M629" s="15"/>
      <c r="N629" s="15"/>
      <c r="O629" s="15"/>
      <c r="P629" s="15"/>
      <c r="Q629" s="11"/>
      <c r="R629" s="11"/>
      <c r="S629" s="11"/>
      <c r="T629" s="11"/>
      <c r="U629" s="15"/>
      <c r="V629" s="11"/>
      <c r="W629" s="11"/>
      <c r="X629" s="11"/>
      <c r="Y629" s="11"/>
      <c r="Z629" s="11"/>
    </row>
    <row r="630">
      <c r="A630" s="18"/>
      <c r="B630" s="11"/>
      <c r="C630" s="11"/>
      <c r="D630" s="11"/>
      <c r="E630" s="11"/>
      <c r="F630" s="11"/>
      <c r="G630" s="11"/>
      <c r="H630" s="11"/>
      <c r="I630" s="11"/>
      <c r="J630" s="11"/>
      <c r="K630" s="11"/>
      <c r="L630" s="15"/>
      <c r="M630" s="15"/>
      <c r="N630" s="15"/>
      <c r="O630" s="15"/>
      <c r="P630" s="15"/>
      <c r="Q630" s="11"/>
      <c r="R630" s="11"/>
      <c r="S630" s="11"/>
      <c r="T630" s="11"/>
      <c r="U630" s="15"/>
      <c r="V630" s="11"/>
      <c r="W630" s="11"/>
      <c r="X630" s="11"/>
      <c r="Y630" s="11"/>
      <c r="Z630" s="11"/>
    </row>
    <row r="631">
      <c r="A631" s="18"/>
      <c r="B631" s="11"/>
      <c r="C631" s="11"/>
      <c r="D631" s="11"/>
      <c r="E631" s="11"/>
      <c r="F631" s="11"/>
      <c r="G631" s="11"/>
      <c r="H631" s="11"/>
      <c r="I631" s="11"/>
      <c r="J631" s="11"/>
      <c r="K631" s="11"/>
      <c r="L631" s="15"/>
      <c r="M631" s="15"/>
      <c r="N631" s="15"/>
      <c r="O631" s="15"/>
      <c r="P631" s="15"/>
      <c r="Q631" s="11"/>
      <c r="R631" s="11"/>
      <c r="S631" s="11"/>
      <c r="T631" s="11"/>
      <c r="U631" s="15"/>
      <c r="V631" s="11"/>
      <c r="W631" s="11"/>
      <c r="X631" s="11"/>
      <c r="Y631" s="11"/>
      <c r="Z631" s="11"/>
    </row>
    <row r="632">
      <c r="A632" s="18"/>
      <c r="B632" s="11"/>
      <c r="C632" s="11"/>
      <c r="D632" s="11"/>
      <c r="E632" s="11"/>
      <c r="F632" s="11"/>
      <c r="G632" s="11"/>
      <c r="H632" s="11"/>
      <c r="I632" s="11"/>
      <c r="J632" s="11"/>
      <c r="K632" s="11"/>
      <c r="L632" s="15"/>
      <c r="M632" s="15"/>
      <c r="N632" s="15"/>
      <c r="O632" s="15"/>
      <c r="P632" s="15"/>
      <c r="Q632" s="11"/>
      <c r="R632" s="11"/>
      <c r="S632" s="11"/>
      <c r="T632" s="11"/>
      <c r="U632" s="15"/>
      <c r="V632" s="11"/>
      <c r="W632" s="11"/>
      <c r="X632" s="11"/>
      <c r="Y632" s="11"/>
      <c r="Z632" s="11"/>
    </row>
    <row r="633">
      <c r="A633" s="18"/>
      <c r="B633" s="11"/>
      <c r="C633" s="11"/>
      <c r="D633" s="11"/>
      <c r="E633" s="11"/>
      <c r="F633" s="11"/>
      <c r="G633" s="11"/>
      <c r="H633" s="11"/>
      <c r="I633" s="11"/>
      <c r="J633" s="11"/>
      <c r="K633" s="11"/>
      <c r="L633" s="15"/>
      <c r="M633" s="15"/>
      <c r="N633" s="15"/>
      <c r="O633" s="15"/>
      <c r="P633" s="15"/>
      <c r="Q633" s="11"/>
      <c r="R633" s="11"/>
      <c r="S633" s="11"/>
      <c r="T633" s="11"/>
      <c r="U633" s="15"/>
      <c r="V633" s="11"/>
      <c r="W633" s="11"/>
      <c r="X633" s="11"/>
      <c r="Y633" s="11"/>
      <c r="Z633" s="11"/>
    </row>
    <row r="634">
      <c r="A634" s="18"/>
      <c r="B634" s="11"/>
      <c r="C634" s="11"/>
      <c r="D634" s="11"/>
      <c r="E634" s="11"/>
      <c r="F634" s="11"/>
      <c r="G634" s="11"/>
      <c r="H634" s="11"/>
      <c r="I634" s="11"/>
      <c r="J634" s="11"/>
      <c r="K634" s="11"/>
      <c r="L634" s="15"/>
      <c r="M634" s="15"/>
      <c r="N634" s="15"/>
      <c r="O634" s="15"/>
      <c r="P634" s="15"/>
      <c r="Q634" s="11"/>
      <c r="R634" s="11"/>
      <c r="S634" s="11"/>
      <c r="T634" s="11"/>
      <c r="U634" s="15"/>
      <c r="V634" s="11"/>
      <c r="W634" s="11"/>
      <c r="X634" s="11"/>
      <c r="Y634" s="11"/>
      <c r="Z634" s="11"/>
    </row>
    <row r="635">
      <c r="A635" s="18"/>
      <c r="B635" s="11"/>
      <c r="C635" s="11"/>
      <c r="D635" s="11"/>
      <c r="E635" s="11"/>
      <c r="F635" s="11"/>
      <c r="G635" s="11"/>
      <c r="H635" s="11"/>
      <c r="I635" s="11"/>
      <c r="J635" s="11"/>
      <c r="K635" s="11"/>
      <c r="L635" s="15"/>
      <c r="M635" s="15"/>
      <c r="N635" s="15"/>
      <c r="O635" s="15"/>
      <c r="P635" s="15"/>
      <c r="Q635" s="11"/>
      <c r="R635" s="11"/>
      <c r="S635" s="11"/>
      <c r="T635" s="11"/>
      <c r="U635" s="15"/>
      <c r="V635" s="11"/>
      <c r="W635" s="11"/>
      <c r="X635" s="11"/>
      <c r="Y635" s="11"/>
      <c r="Z635" s="11"/>
    </row>
    <row r="636">
      <c r="A636" s="18"/>
      <c r="B636" s="11"/>
      <c r="C636" s="11"/>
      <c r="D636" s="11"/>
      <c r="E636" s="11"/>
      <c r="F636" s="11"/>
      <c r="G636" s="11"/>
      <c r="H636" s="11"/>
      <c r="I636" s="11"/>
      <c r="J636" s="11"/>
      <c r="K636" s="11"/>
      <c r="L636" s="15"/>
      <c r="M636" s="15"/>
      <c r="N636" s="15"/>
      <c r="O636" s="15"/>
      <c r="P636" s="15"/>
      <c r="Q636" s="11"/>
      <c r="R636" s="11"/>
      <c r="S636" s="11"/>
      <c r="T636" s="11"/>
      <c r="U636" s="15"/>
      <c r="V636" s="11"/>
      <c r="W636" s="11"/>
      <c r="X636" s="11"/>
      <c r="Y636" s="11"/>
      <c r="Z636" s="11"/>
    </row>
    <row r="637">
      <c r="A637" s="18"/>
      <c r="B637" s="11"/>
      <c r="C637" s="11"/>
      <c r="D637" s="11"/>
      <c r="E637" s="11"/>
      <c r="F637" s="11"/>
      <c r="G637" s="11"/>
      <c r="H637" s="11"/>
      <c r="I637" s="11"/>
      <c r="J637" s="11"/>
      <c r="K637" s="11"/>
      <c r="L637" s="15"/>
      <c r="M637" s="15"/>
      <c r="N637" s="15"/>
      <c r="O637" s="15"/>
      <c r="P637" s="15"/>
      <c r="Q637" s="11"/>
      <c r="R637" s="11"/>
      <c r="S637" s="11"/>
      <c r="T637" s="11"/>
      <c r="U637" s="15"/>
      <c r="V637" s="11"/>
      <c r="W637" s="11"/>
      <c r="X637" s="11"/>
      <c r="Y637" s="11"/>
      <c r="Z637" s="11"/>
    </row>
    <row r="638">
      <c r="A638" s="18"/>
      <c r="B638" s="11"/>
      <c r="C638" s="11"/>
      <c r="D638" s="11"/>
      <c r="E638" s="11"/>
      <c r="F638" s="11"/>
      <c r="G638" s="11"/>
      <c r="H638" s="11"/>
      <c r="I638" s="11"/>
      <c r="J638" s="11"/>
      <c r="K638" s="11"/>
      <c r="L638" s="15"/>
      <c r="M638" s="15"/>
      <c r="N638" s="15"/>
      <c r="O638" s="15"/>
      <c r="P638" s="15"/>
      <c r="Q638" s="11"/>
      <c r="R638" s="11"/>
      <c r="S638" s="11"/>
      <c r="T638" s="11"/>
      <c r="U638" s="15"/>
      <c r="V638" s="11"/>
      <c r="W638" s="11"/>
      <c r="X638" s="11"/>
      <c r="Y638" s="11"/>
      <c r="Z638" s="11"/>
    </row>
    <row r="639">
      <c r="A639" s="18"/>
      <c r="B639" s="11"/>
      <c r="C639" s="11"/>
      <c r="D639" s="11"/>
      <c r="E639" s="11"/>
      <c r="F639" s="11"/>
      <c r="G639" s="11"/>
      <c r="H639" s="11"/>
      <c r="I639" s="11"/>
      <c r="J639" s="11"/>
      <c r="K639" s="11"/>
      <c r="L639" s="15"/>
      <c r="M639" s="15"/>
      <c r="N639" s="15"/>
      <c r="O639" s="15"/>
      <c r="P639" s="15"/>
      <c r="Q639" s="11"/>
      <c r="R639" s="11"/>
      <c r="S639" s="11"/>
      <c r="T639" s="11"/>
      <c r="U639" s="15"/>
      <c r="V639" s="11"/>
      <c r="W639" s="11"/>
      <c r="X639" s="11"/>
      <c r="Y639" s="11"/>
      <c r="Z639" s="11"/>
    </row>
    <row r="640">
      <c r="A640" s="18"/>
      <c r="B640" s="11"/>
      <c r="C640" s="11"/>
      <c r="D640" s="11"/>
      <c r="E640" s="11"/>
      <c r="F640" s="11"/>
      <c r="G640" s="11"/>
      <c r="H640" s="11"/>
      <c r="I640" s="11"/>
      <c r="J640" s="11"/>
      <c r="K640" s="11"/>
      <c r="L640" s="15"/>
      <c r="M640" s="15"/>
      <c r="N640" s="15"/>
      <c r="O640" s="15"/>
      <c r="P640" s="15"/>
      <c r="Q640" s="11"/>
      <c r="R640" s="11"/>
      <c r="S640" s="11"/>
      <c r="T640" s="11"/>
      <c r="U640" s="15"/>
      <c r="V640" s="11"/>
      <c r="W640" s="11"/>
      <c r="X640" s="11"/>
      <c r="Y640" s="11"/>
      <c r="Z640" s="11"/>
    </row>
    <row r="641">
      <c r="A641" s="18"/>
      <c r="B641" s="11"/>
      <c r="C641" s="11"/>
      <c r="D641" s="11"/>
      <c r="E641" s="11"/>
      <c r="F641" s="11"/>
      <c r="G641" s="11"/>
      <c r="H641" s="11"/>
      <c r="I641" s="11"/>
      <c r="J641" s="11"/>
      <c r="K641" s="11"/>
      <c r="L641" s="15"/>
      <c r="M641" s="15"/>
      <c r="N641" s="15"/>
      <c r="O641" s="15"/>
      <c r="P641" s="15"/>
      <c r="Q641" s="11"/>
      <c r="R641" s="11"/>
      <c r="S641" s="11"/>
      <c r="T641" s="11"/>
      <c r="U641" s="15"/>
      <c r="V641" s="11"/>
      <c r="W641" s="11"/>
      <c r="X641" s="11"/>
      <c r="Y641" s="11"/>
      <c r="Z641" s="11"/>
    </row>
    <row r="642">
      <c r="A642" s="18"/>
      <c r="B642" s="11"/>
      <c r="C642" s="11"/>
      <c r="D642" s="11"/>
      <c r="E642" s="11"/>
      <c r="F642" s="11"/>
      <c r="G642" s="11"/>
      <c r="H642" s="11"/>
      <c r="I642" s="11"/>
      <c r="J642" s="11"/>
      <c r="K642" s="11"/>
      <c r="L642" s="15"/>
      <c r="M642" s="15"/>
      <c r="N642" s="15"/>
      <c r="O642" s="15"/>
      <c r="P642" s="15"/>
      <c r="Q642" s="11"/>
      <c r="R642" s="11"/>
      <c r="S642" s="11"/>
      <c r="T642" s="11"/>
      <c r="U642" s="15"/>
      <c r="V642" s="11"/>
      <c r="W642" s="11"/>
      <c r="X642" s="11"/>
      <c r="Y642" s="11"/>
      <c r="Z642" s="11"/>
    </row>
    <row r="643">
      <c r="A643" s="18"/>
      <c r="B643" s="11"/>
      <c r="C643" s="11"/>
      <c r="D643" s="11"/>
      <c r="E643" s="11"/>
      <c r="F643" s="11"/>
      <c r="G643" s="11"/>
      <c r="H643" s="11"/>
      <c r="I643" s="11"/>
      <c r="J643" s="11"/>
      <c r="K643" s="11"/>
      <c r="L643" s="15"/>
      <c r="M643" s="15"/>
      <c r="N643" s="15"/>
      <c r="O643" s="15"/>
      <c r="P643" s="15"/>
      <c r="Q643" s="11"/>
      <c r="R643" s="11"/>
      <c r="S643" s="11"/>
      <c r="T643" s="11"/>
      <c r="U643" s="15"/>
      <c r="V643" s="11"/>
      <c r="W643" s="11"/>
      <c r="X643" s="11"/>
      <c r="Y643" s="11"/>
      <c r="Z643" s="11"/>
    </row>
    <row r="644">
      <c r="A644" s="18"/>
      <c r="B644" s="11"/>
      <c r="C644" s="11"/>
      <c r="D644" s="11"/>
      <c r="E644" s="11"/>
      <c r="F644" s="11"/>
      <c r="G644" s="11"/>
      <c r="H644" s="11"/>
      <c r="I644" s="11"/>
      <c r="J644" s="11"/>
      <c r="K644" s="11"/>
      <c r="L644" s="15"/>
      <c r="M644" s="15"/>
      <c r="N644" s="15"/>
      <c r="O644" s="15"/>
      <c r="P644" s="15"/>
      <c r="Q644" s="11"/>
      <c r="R644" s="11"/>
      <c r="S644" s="11"/>
      <c r="T644" s="11"/>
      <c r="U644" s="15"/>
      <c r="V644" s="11"/>
      <c r="W644" s="11"/>
      <c r="X644" s="11"/>
      <c r="Y644" s="11"/>
      <c r="Z644" s="11"/>
    </row>
    <row r="645">
      <c r="A645" s="18"/>
      <c r="B645" s="11"/>
      <c r="C645" s="11"/>
      <c r="D645" s="11"/>
      <c r="E645" s="11"/>
      <c r="F645" s="11"/>
      <c r="G645" s="11"/>
      <c r="H645" s="11"/>
      <c r="I645" s="11"/>
      <c r="J645" s="11"/>
      <c r="K645" s="11"/>
      <c r="L645" s="15"/>
      <c r="M645" s="15"/>
      <c r="N645" s="15"/>
      <c r="O645" s="15"/>
      <c r="P645" s="15"/>
      <c r="Q645" s="11"/>
      <c r="R645" s="11"/>
      <c r="S645" s="11"/>
      <c r="T645" s="11"/>
      <c r="U645" s="15"/>
      <c r="V645" s="11"/>
      <c r="W645" s="11"/>
      <c r="X645" s="11"/>
      <c r="Y645" s="11"/>
      <c r="Z645" s="11"/>
    </row>
    <row r="646">
      <c r="A646" s="18"/>
      <c r="B646" s="11"/>
      <c r="C646" s="11"/>
      <c r="D646" s="11"/>
      <c r="E646" s="11"/>
      <c r="F646" s="11"/>
      <c r="G646" s="11"/>
      <c r="H646" s="11"/>
      <c r="I646" s="11"/>
      <c r="J646" s="11"/>
      <c r="K646" s="11"/>
      <c r="L646" s="15"/>
      <c r="M646" s="15"/>
      <c r="N646" s="15"/>
      <c r="O646" s="15"/>
      <c r="P646" s="15"/>
      <c r="Q646" s="11"/>
      <c r="R646" s="11"/>
      <c r="S646" s="11"/>
      <c r="T646" s="11"/>
      <c r="U646" s="15"/>
      <c r="V646" s="11"/>
      <c r="W646" s="11"/>
      <c r="X646" s="11"/>
      <c r="Y646" s="11"/>
      <c r="Z646" s="11"/>
    </row>
    <row r="647">
      <c r="A647" s="18"/>
      <c r="B647" s="11"/>
      <c r="C647" s="11"/>
      <c r="D647" s="11"/>
      <c r="E647" s="11"/>
      <c r="F647" s="11"/>
      <c r="G647" s="11"/>
      <c r="H647" s="11"/>
      <c r="I647" s="11"/>
      <c r="J647" s="11"/>
      <c r="K647" s="11"/>
      <c r="L647" s="15"/>
      <c r="M647" s="15"/>
      <c r="N647" s="15"/>
      <c r="O647" s="15"/>
      <c r="P647" s="15"/>
      <c r="Q647" s="11"/>
      <c r="R647" s="11"/>
      <c r="S647" s="11"/>
      <c r="T647" s="11"/>
      <c r="U647" s="15"/>
      <c r="V647" s="11"/>
      <c r="W647" s="11"/>
      <c r="X647" s="11"/>
      <c r="Y647" s="11"/>
      <c r="Z647" s="11"/>
    </row>
    <row r="648">
      <c r="A648" s="18"/>
      <c r="B648" s="11"/>
      <c r="C648" s="11"/>
      <c r="D648" s="11"/>
      <c r="E648" s="11"/>
      <c r="F648" s="11"/>
      <c r="G648" s="11"/>
      <c r="H648" s="11"/>
      <c r="I648" s="11"/>
      <c r="J648" s="11"/>
      <c r="K648" s="11"/>
      <c r="L648" s="15"/>
      <c r="M648" s="15"/>
      <c r="N648" s="15"/>
      <c r="O648" s="15"/>
      <c r="P648" s="15"/>
      <c r="Q648" s="11"/>
      <c r="R648" s="11"/>
      <c r="S648" s="11"/>
      <c r="T648" s="11"/>
      <c r="U648" s="15"/>
      <c r="V648" s="11"/>
      <c r="W648" s="11"/>
      <c r="X648" s="11"/>
      <c r="Y648" s="11"/>
      <c r="Z648" s="11"/>
    </row>
    <row r="649">
      <c r="A649" s="18"/>
      <c r="B649" s="11"/>
      <c r="C649" s="11"/>
      <c r="D649" s="11"/>
      <c r="E649" s="11"/>
      <c r="F649" s="11"/>
      <c r="G649" s="11"/>
      <c r="H649" s="11"/>
      <c r="I649" s="11"/>
      <c r="J649" s="11"/>
      <c r="K649" s="11"/>
      <c r="L649" s="15"/>
      <c r="M649" s="15"/>
      <c r="N649" s="15"/>
      <c r="O649" s="15"/>
      <c r="P649" s="15"/>
      <c r="Q649" s="11"/>
      <c r="R649" s="11"/>
      <c r="S649" s="11"/>
      <c r="T649" s="11"/>
      <c r="U649" s="15"/>
      <c r="V649" s="11"/>
      <c r="W649" s="11"/>
      <c r="X649" s="11"/>
      <c r="Y649" s="11"/>
      <c r="Z649" s="11"/>
    </row>
    <row r="650">
      <c r="A650" s="18"/>
      <c r="B650" s="11"/>
      <c r="C650" s="11"/>
      <c r="D650" s="11"/>
      <c r="E650" s="11"/>
      <c r="F650" s="11"/>
      <c r="G650" s="11"/>
      <c r="H650" s="11"/>
      <c r="I650" s="11"/>
      <c r="J650" s="11"/>
      <c r="K650" s="11"/>
      <c r="L650" s="15"/>
      <c r="M650" s="15"/>
      <c r="N650" s="15"/>
      <c r="O650" s="15"/>
      <c r="P650" s="15"/>
      <c r="Q650" s="11"/>
      <c r="R650" s="11"/>
      <c r="S650" s="11"/>
      <c r="T650" s="11"/>
      <c r="U650" s="15"/>
      <c r="V650" s="11"/>
      <c r="W650" s="11"/>
      <c r="X650" s="11"/>
      <c r="Y650" s="11"/>
      <c r="Z650" s="11"/>
    </row>
    <row r="651">
      <c r="A651" s="18"/>
      <c r="B651" s="11"/>
      <c r="C651" s="11"/>
      <c r="D651" s="11"/>
      <c r="E651" s="11"/>
      <c r="F651" s="11"/>
      <c r="G651" s="11"/>
      <c r="H651" s="11"/>
      <c r="I651" s="11"/>
      <c r="J651" s="11"/>
      <c r="K651" s="11"/>
      <c r="L651" s="15"/>
      <c r="M651" s="15"/>
      <c r="N651" s="15"/>
      <c r="O651" s="15"/>
      <c r="P651" s="15"/>
      <c r="Q651" s="11"/>
      <c r="R651" s="11"/>
      <c r="S651" s="11"/>
      <c r="T651" s="11"/>
      <c r="U651" s="15"/>
      <c r="V651" s="11"/>
      <c r="W651" s="11"/>
      <c r="X651" s="11"/>
      <c r="Y651" s="11"/>
      <c r="Z651" s="11"/>
    </row>
    <row r="652">
      <c r="A652" s="18"/>
      <c r="B652" s="11"/>
      <c r="C652" s="11"/>
      <c r="D652" s="11"/>
      <c r="E652" s="11"/>
      <c r="F652" s="11"/>
      <c r="G652" s="11"/>
      <c r="H652" s="11"/>
      <c r="I652" s="11"/>
      <c r="J652" s="11"/>
      <c r="K652" s="11"/>
      <c r="L652" s="15"/>
      <c r="M652" s="15"/>
      <c r="N652" s="15"/>
      <c r="O652" s="15"/>
      <c r="P652" s="15"/>
      <c r="Q652" s="11"/>
      <c r="R652" s="11"/>
      <c r="S652" s="11"/>
      <c r="T652" s="11"/>
      <c r="U652" s="15"/>
      <c r="V652" s="11"/>
      <c r="W652" s="11"/>
      <c r="X652" s="11"/>
      <c r="Y652" s="11"/>
      <c r="Z652" s="11"/>
    </row>
    <row r="653">
      <c r="A653" s="18"/>
      <c r="B653" s="11"/>
      <c r="C653" s="11"/>
      <c r="D653" s="11"/>
      <c r="E653" s="11"/>
      <c r="F653" s="11"/>
      <c r="G653" s="11"/>
      <c r="H653" s="11"/>
      <c r="I653" s="11"/>
      <c r="J653" s="11"/>
      <c r="K653" s="11"/>
      <c r="L653" s="15"/>
      <c r="M653" s="15"/>
      <c r="N653" s="15"/>
      <c r="O653" s="15"/>
      <c r="P653" s="15"/>
      <c r="Q653" s="11"/>
      <c r="R653" s="11"/>
      <c r="S653" s="11"/>
      <c r="T653" s="11"/>
      <c r="U653" s="15"/>
      <c r="V653" s="11"/>
      <c r="W653" s="11"/>
      <c r="X653" s="11"/>
      <c r="Y653" s="11"/>
      <c r="Z653" s="11"/>
    </row>
    <row r="654">
      <c r="A654" s="18"/>
      <c r="B654" s="11"/>
      <c r="C654" s="11"/>
      <c r="D654" s="11"/>
      <c r="E654" s="11"/>
      <c r="F654" s="11"/>
      <c r="G654" s="11"/>
      <c r="H654" s="11"/>
      <c r="I654" s="11"/>
      <c r="J654" s="11"/>
      <c r="K654" s="11"/>
      <c r="L654" s="15"/>
      <c r="M654" s="15"/>
      <c r="N654" s="15"/>
      <c r="O654" s="15"/>
      <c r="P654" s="15"/>
      <c r="Q654" s="11"/>
      <c r="R654" s="11"/>
      <c r="S654" s="11"/>
      <c r="T654" s="11"/>
      <c r="U654" s="15"/>
      <c r="V654" s="11"/>
      <c r="W654" s="11"/>
      <c r="X654" s="11"/>
      <c r="Y654" s="11"/>
      <c r="Z654" s="11"/>
    </row>
    <row r="655">
      <c r="A655" s="18"/>
      <c r="B655" s="11"/>
      <c r="C655" s="11"/>
      <c r="D655" s="11"/>
      <c r="E655" s="11"/>
      <c r="F655" s="11"/>
      <c r="G655" s="11"/>
      <c r="H655" s="11"/>
      <c r="I655" s="11"/>
      <c r="J655" s="11"/>
      <c r="K655" s="11"/>
      <c r="L655" s="15"/>
      <c r="M655" s="15"/>
      <c r="N655" s="15"/>
      <c r="O655" s="15"/>
      <c r="P655" s="15"/>
      <c r="Q655" s="11"/>
      <c r="R655" s="11"/>
      <c r="S655" s="11"/>
      <c r="T655" s="11"/>
      <c r="U655" s="15"/>
      <c r="V655" s="11"/>
      <c r="W655" s="11"/>
      <c r="X655" s="11"/>
      <c r="Y655" s="11"/>
      <c r="Z655" s="11"/>
    </row>
    <row r="656">
      <c r="A656" s="18"/>
      <c r="B656" s="11"/>
      <c r="C656" s="11"/>
      <c r="D656" s="11"/>
      <c r="E656" s="11"/>
      <c r="F656" s="11"/>
      <c r="G656" s="11"/>
      <c r="H656" s="11"/>
      <c r="I656" s="11"/>
      <c r="J656" s="11"/>
      <c r="K656" s="11"/>
      <c r="L656" s="15"/>
      <c r="M656" s="15"/>
      <c r="N656" s="15"/>
      <c r="O656" s="15"/>
      <c r="P656" s="15"/>
      <c r="Q656" s="11"/>
      <c r="R656" s="11"/>
      <c r="S656" s="11"/>
      <c r="T656" s="11"/>
      <c r="U656" s="15"/>
      <c r="V656" s="11"/>
      <c r="W656" s="11"/>
      <c r="X656" s="11"/>
      <c r="Y656" s="11"/>
      <c r="Z656" s="11"/>
    </row>
    <row r="657">
      <c r="A657" s="18"/>
      <c r="B657" s="11"/>
      <c r="C657" s="11"/>
      <c r="D657" s="11"/>
      <c r="E657" s="11"/>
      <c r="F657" s="11"/>
      <c r="G657" s="11"/>
      <c r="H657" s="11"/>
      <c r="I657" s="11"/>
      <c r="J657" s="11"/>
      <c r="K657" s="11"/>
      <c r="L657" s="15"/>
      <c r="M657" s="15"/>
      <c r="N657" s="15"/>
      <c r="O657" s="15"/>
      <c r="P657" s="15"/>
      <c r="Q657" s="11"/>
      <c r="R657" s="11"/>
      <c r="S657" s="11"/>
      <c r="T657" s="11"/>
      <c r="U657" s="15"/>
      <c r="V657" s="11"/>
      <c r="W657" s="11"/>
      <c r="X657" s="11"/>
      <c r="Y657" s="11"/>
      <c r="Z657" s="11"/>
    </row>
    <row r="658">
      <c r="A658" s="18"/>
      <c r="B658" s="11"/>
      <c r="C658" s="11"/>
      <c r="D658" s="11"/>
      <c r="E658" s="11"/>
      <c r="F658" s="11"/>
      <c r="G658" s="11"/>
      <c r="H658" s="11"/>
      <c r="I658" s="11"/>
      <c r="J658" s="11"/>
      <c r="K658" s="11"/>
      <c r="L658" s="15"/>
      <c r="M658" s="15"/>
      <c r="N658" s="15"/>
      <c r="O658" s="15"/>
      <c r="P658" s="15"/>
      <c r="Q658" s="11"/>
      <c r="R658" s="11"/>
      <c r="S658" s="11"/>
      <c r="T658" s="11"/>
      <c r="U658" s="15"/>
      <c r="V658" s="11"/>
      <c r="W658" s="11"/>
      <c r="X658" s="11"/>
      <c r="Y658" s="11"/>
      <c r="Z658" s="11"/>
    </row>
    <row r="659">
      <c r="A659" s="18"/>
      <c r="B659" s="11"/>
      <c r="C659" s="11"/>
      <c r="D659" s="11"/>
      <c r="E659" s="11"/>
      <c r="F659" s="11"/>
      <c r="G659" s="11"/>
      <c r="H659" s="11"/>
      <c r="I659" s="11"/>
      <c r="J659" s="11"/>
      <c r="K659" s="11"/>
      <c r="L659" s="15"/>
      <c r="M659" s="15"/>
      <c r="N659" s="15"/>
      <c r="O659" s="15"/>
      <c r="P659" s="15"/>
      <c r="Q659" s="11"/>
      <c r="R659" s="11"/>
      <c r="S659" s="11"/>
      <c r="T659" s="11"/>
      <c r="U659" s="15"/>
      <c r="V659" s="11"/>
      <c r="W659" s="11"/>
      <c r="X659" s="11"/>
      <c r="Y659" s="11"/>
      <c r="Z659" s="11"/>
    </row>
    <row r="660">
      <c r="A660" s="18"/>
      <c r="B660" s="11"/>
      <c r="C660" s="11"/>
      <c r="D660" s="11"/>
      <c r="E660" s="11"/>
      <c r="F660" s="11"/>
      <c r="G660" s="11"/>
      <c r="H660" s="11"/>
      <c r="I660" s="11"/>
      <c r="J660" s="11"/>
      <c r="K660" s="11"/>
      <c r="L660" s="15"/>
      <c r="M660" s="15"/>
      <c r="N660" s="15"/>
      <c r="O660" s="15"/>
      <c r="P660" s="15"/>
      <c r="Q660" s="11"/>
      <c r="R660" s="11"/>
      <c r="S660" s="11"/>
      <c r="T660" s="11"/>
      <c r="U660" s="15"/>
      <c r="V660" s="11"/>
      <c r="W660" s="11"/>
      <c r="X660" s="11"/>
      <c r="Y660" s="11"/>
      <c r="Z660" s="11"/>
    </row>
    <row r="661">
      <c r="A661" s="18"/>
      <c r="B661" s="11"/>
      <c r="C661" s="11"/>
      <c r="D661" s="11"/>
      <c r="E661" s="11"/>
      <c r="F661" s="11"/>
      <c r="G661" s="11"/>
      <c r="H661" s="11"/>
      <c r="I661" s="11"/>
      <c r="J661" s="11"/>
      <c r="K661" s="11"/>
      <c r="L661" s="15"/>
      <c r="M661" s="15"/>
      <c r="N661" s="15"/>
      <c r="O661" s="15"/>
      <c r="P661" s="15"/>
      <c r="Q661" s="11"/>
      <c r="R661" s="11"/>
      <c r="S661" s="11"/>
      <c r="T661" s="11"/>
      <c r="U661" s="15"/>
      <c r="V661" s="11"/>
      <c r="W661" s="11"/>
      <c r="X661" s="11"/>
      <c r="Y661" s="11"/>
      <c r="Z661" s="11"/>
    </row>
    <row r="662">
      <c r="A662" s="18"/>
      <c r="B662" s="11"/>
      <c r="C662" s="11"/>
      <c r="D662" s="11"/>
      <c r="E662" s="11"/>
      <c r="F662" s="11"/>
      <c r="G662" s="11"/>
      <c r="H662" s="11"/>
      <c r="I662" s="11"/>
      <c r="J662" s="11"/>
      <c r="K662" s="11"/>
      <c r="L662" s="15"/>
      <c r="M662" s="15"/>
      <c r="N662" s="15"/>
      <c r="O662" s="15"/>
      <c r="P662" s="15"/>
      <c r="Q662" s="11"/>
      <c r="R662" s="11"/>
      <c r="S662" s="11"/>
      <c r="T662" s="11"/>
      <c r="U662" s="15"/>
      <c r="V662" s="11"/>
      <c r="W662" s="11"/>
      <c r="X662" s="11"/>
      <c r="Y662" s="11"/>
      <c r="Z662" s="11"/>
    </row>
    <row r="663">
      <c r="A663" s="18"/>
      <c r="B663" s="11"/>
      <c r="C663" s="11"/>
      <c r="D663" s="11"/>
      <c r="E663" s="11"/>
      <c r="F663" s="11"/>
      <c r="G663" s="11"/>
      <c r="H663" s="11"/>
      <c r="I663" s="11"/>
      <c r="J663" s="11"/>
      <c r="K663" s="11"/>
      <c r="L663" s="15"/>
      <c r="M663" s="15"/>
      <c r="N663" s="15"/>
      <c r="O663" s="15"/>
      <c r="P663" s="15"/>
      <c r="Q663" s="11"/>
      <c r="R663" s="11"/>
      <c r="S663" s="11"/>
      <c r="T663" s="11"/>
      <c r="U663" s="15"/>
      <c r="V663" s="11"/>
      <c r="W663" s="11"/>
      <c r="X663" s="11"/>
      <c r="Y663" s="11"/>
      <c r="Z663" s="11"/>
    </row>
    <row r="664">
      <c r="A664" s="18"/>
      <c r="B664" s="11"/>
      <c r="C664" s="11"/>
      <c r="D664" s="11"/>
      <c r="E664" s="11"/>
      <c r="F664" s="11"/>
      <c r="G664" s="11"/>
      <c r="H664" s="11"/>
      <c r="I664" s="11"/>
      <c r="J664" s="11"/>
      <c r="K664" s="11"/>
      <c r="L664" s="15"/>
      <c r="M664" s="15"/>
      <c r="N664" s="15"/>
      <c r="O664" s="15"/>
      <c r="P664" s="15"/>
      <c r="Q664" s="11"/>
      <c r="R664" s="11"/>
      <c r="S664" s="11"/>
      <c r="T664" s="11"/>
      <c r="U664" s="15"/>
      <c r="V664" s="11"/>
      <c r="W664" s="11"/>
      <c r="X664" s="11"/>
      <c r="Y664" s="11"/>
      <c r="Z664" s="11"/>
    </row>
    <row r="665">
      <c r="A665" s="18"/>
      <c r="B665" s="11"/>
      <c r="C665" s="11"/>
      <c r="D665" s="11"/>
      <c r="E665" s="11"/>
      <c r="F665" s="11"/>
      <c r="G665" s="11"/>
      <c r="H665" s="11"/>
      <c r="I665" s="11"/>
      <c r="J665" s="11"/>
      <c r="K665" s="11"/>
      <c r="L665" s="15"/>
      <c r="M665" s="15"/>
      <c r="N665" s="15"/>
      <c r="O665" s="15"/>
      <c r="P665" s="15"/>
      <c r="Q665" s="11"/>
      <c r="R665" s="11"/>
      <c r="S665" s="11"/>
      <c r="T665" s="11"/>
      <c r="U665" s="15"/>
      <c r="V665" s="11"/>
      <c r="W665" s="11"/>
      <c r="X665" s="11"/>
      <c r="Y665" s="11"/>
      <c r="Z665" s="11"/>
    </row>
    <row r="666">
      <c r="A666" s="18"/>
      <c r="B666" s="11"/>
      <c r="C666" s="11"/>
      <c r="D666" s="11"/>
      <c r="E666" s="11"/>
      <c r="F666" s="11"/>
      <c r="G666" s="11"/>
      <c r="H666" s="11"/>
      <c r="I666" s="11"/>
      <c r="J666" s="11"/>
      <c r="K666" s="11"/>
      <c r="L666" s="15"/>
      <c r="M666" s="15"/>
      <c r="N666" s="15"/>
      <c r="O666" s="15"/>
      <c r="P666" s="15"/>
      <c r="Q666" s="11"/>
      <c r="R666" s="11"/>
      <c r="S666" s="11"/>
      <c r="T666" s="11"/>
      <c r="U666" s="15"/>
      <c r="V666" s="11"/>
      <c r="W666" s="11"/>
      <c r="X666" s="11"/>
      <c r="Y666" s="11"/>
      <c r="Z666" s="11"/>
    </row>
    <row r="667">
      <c r="A667" s="18"/>
      <c r="B667" s="11"/>
      <c r="C667" s="11"/>
      <c r="D667" s="11"/>
      <c r="E667" s="11"/>
      <c r="F667" s="11"/>
      <c r="G667" s="11"/>
      <c r="H667" s="11"/>
      <c r="I667" s="11"/>
      <c r="J667" s="11"/>
      <c r="K667" s="11"/>
      <c r="L667" s="15"/>
      <c r="M667" s="15"/>
      <c r="N667" s="15"/>
      <c r="O667" s="15"/>
      <c r="P667" s="15"/>
      <c r="Q667" s="11"/>
      <c r="R667" s="11"/>
      <c r="S667" s="11"/>
      <c r="T667" s="11"/>
      <c r="U667" s="15"/>
      <c r="V667" s="11"/>
      <c r="W667" s="11"/>
      <c r="X667" s="11"/>
      <c r="Y667" s="11"/>
      <c r="Z667" s="11"/>
    </row>
    <row r="668">
      <c r="A668" s="18"/>
      <c r="B668" s="11"/>
      <c r="C668" s="11"/>
      <c r="D668" s="11"/>
      <c r="E668" s="11"/>
      <c r="F668" s="11"/>
      <c r="G668" s="11"/>
      <c r="H668" s="11"/>
      <c r="I668" s="11"/>
      <c r="J668" s="11"/>
      <c r="K668" s="11"/>
      <c r="L668" s="15"/>
      <c r="M668" s="15"/>
      <c r="N668" s="15"/>
      <c r="O668" s="15"/>
      <c r="P668" s="15"/>
      <c r="Q668" s="11"/>
      <c r="R668" s="11"/>
      <c r="S668" s="11"/>
      <c r="T668" s="11"/>
      <c r="U668" s="15"/>
      <c r="V668" s="11"/>
      <c r="W668" s="11"/>
      <c r="X668" s="11"/>
      <c r="Y668" s="11"/>
      <c r="Z668" s="11"/>
    </row>
    <row r="669">
      <c r="A669" s="18"/>
      <c r="B669" s="11"/>
      <c r="C669" s="11"/>
      <c r="D669" s="11"/>
      <c r="E669" s="11"/>
      <c r="F669" s="11"/>
      <c r="G669" s="11"/>
      <c r="H669" s="11"/>
      <c r="I669" s="11"/>
      <c r="J669" s="11"/>
      <c r="K669" s="11"/>
      <c r="L669" s="15"/>
      <c r="M669" s="15"/>
      <c r="N669" s="15"/>
      <c r="O669" s="15"/>
      <c r="P669" s="15"/>
      <c r="Q669" s="11"/>
      <c r="R669" s="11"/>
      <c r="S669" s="11"/>
      <c r="T669" s="11"/>
      <c r="U669" s="15"/>
      <c r="V669" s="11"/>
      <c r="W669" s="11"/>
      <c r="X669" s="11"/>
      <c r="Y669" s="11"/>
      <c r="Z669" s="11"/>
    </row>
    <row r="670">
      <c r="A670" s="18"/>
      <c r="B670" s="11"/>
      <c r="C670" s="11"/>
      <c r="D670" s="11"/>
      <c r="E670" s="11"/>
      <c r="F670" s="11"/>
      <c r="G670" s="11"/>
      <c r="H670" s="11"/>
      <c r="I670" s="11"/>
      <c r="J670" s="11"/>
      <c r="K670" s="11"/>
      <c r="L670" s="15"/>
      <c r="M670" s="15"/>
      <c r="N670" s="15"/>
      <c r="O670" s="15"/>
      <c r="P670" s="15"/>
      <c r="Q670" s="11"/>
      <c r="R670" s="11"/>
      <c r="S670" s="11"/>
      <c r="T670" s="11"/>
      <c r="U670" s="15"/>
      <c r="V670" s="11"/>
      <c r="W670" s="11"/>
      <c r="X670" s="11"/>
      <c r="Y670" s="11"/>
      <c r="Z670" s="11"/>
    </row>
    <row r="671">
      <c r="A671" s="18"/>
      <c r="B671" s="11"/>
      <c r="C671" s="11"/>
      <c r="D671" s="11"/>
      <c r="E671" s="11"/>
      <c r="F671" s="11"/>
      <c r="G671" s="11"/>
      <c r="H671" s="11"/>
      <c r="I671" s="11"/>
      <c r="J671" s="11"/>
      <c r="K671" s="11"/>
      <c r="L671" s="15"/>
      <c r="M671" s="15"/>
      <c r="N671" s="15"/>
      <c r="O671" s="15"/>
      <c r="P671" s="15"/>
      <c r="Q671" s="11"/>
      <c r="R671" s="11"/>
      <c r="S671" s="11"/>
      <c r="T671" s="11"/>
      <c r="U671" s="15"/>
      <c r="V671" s="11"/>
      <c r="W671" s="11"/>
      <c r="X671" s="11"/>
      <c r="Y671" s="11"/>
      <c r="Z671" s="11"/>
    </row>
    <row r="672">
      <c r="A672" s="18"/>
      <c r="B672" s="11"/>
      <c r="C672" s="11"/>
      <c r="D672" s="11"/>
      <c r="E672" s="11"/>
      <c r="F672" s="11"/>
      <c r="G672" s="11"/>
      <c r="H672" s="11"/>
      <c r="I672" s="11"/>
      <c r="J672" s="11"/>
      <c r="K672" s="11"/>
      <c r="L672" s="15"/>
      <c r="M672" s="15"/>
      <c r="N672" s="15"/>
      <c r="O672" s="15"/>
      <c r="P672" s="15"/>
      <c r="Q672" s="11"/>
      <c r="R672" s="11"/>
      <c r="S672" s="11"/>
      <c r="T672" s="11"/>
      <c r="U672" s="15"/>
      <c r="V672" s="11"/>
      <c r="W672" s="11"/>
      <c r="X672" s="11"/>
      <c r="Y672" s="11"/>
      <c r="Z672" s="11"/>
    </row>
    <row r="673">
      <c r="A673" s="18"/>
      <c r="B673" s="11"/>
      <c r="C673" s="11"/>
      <c r="D673" s="11"/>
      <c r="E673" s="11"/>
      <c r="F673" s="11"/>
      <c r="G673" s="11"/>
      <c r="H673" s="11"/>
      <c r="I673" s="11"/>
      <c r="J673" s="11"/>
      <c r="K673" s="11"/>
      <c r="L673" s="15"/>
      <c r="M673" s="15"/>
      <c r="N673" s="15"/>
      <c r="O673" s="15"/>
      <c r="P673" s="15"/>
      <c r="Q673" s="11"/>
      <c r="R673" s="11"/>
      <c r="S673" s="11"/>
      <c r="T673" s="11"/>
      <c r="U673" s="15"/>
      <c r="V673" s="11"/>
      <c r="W673" s="11"/>
      <c r="X673" s="11"/>
      <c r="Y673" s="11"/>
      <c r="Z673" s="11"/>
    </row>
    <row r="674">
      <c r="A674" s="18"/>
      <c r="B674" s="11"/>
      <c r="C674" s="11"/>
      <c r="D674" s="11"/>
      <c r="E674" s="11"/>
      <c r="F674" s="11"/>
      <c r="G674" s="11"/>
      <c r="H674" s="11"/>
      <c r="I674" s="11"/>
      <c r="J674" s="11"/>
      <c r="K674" s="11"/>
      <c r="L674" s="15"/>
      <c r="M674" s="15"/>
      <c r="N674" s="15"/>
      <c r="O674" s="15"/>
      <c r="P674" s="15"/>
      <c r="Q674" s="11"/>
      <c r="R674" s="11"/>
      <c r="S674" s="11"/>
      <c r="T674" s="11"/>
      <c r="U674" s="15"/>
      <c r="V674" s="11"/>
      <c r="W674" s="11"/>
      <c r="X674" s="11"/>
      <c r="Y674" s="11"/>
      <c r="Z674" s="11"/>
    </row>
    <row r="675">
      <c r="A675" s="18"/>
      <c r="B675" s="11"/>
      <c r="C675" s="11"/>
      <c r="D675" s="11"/>
      <c r="E675" s="11"/>
      <c r="F675" s="11"/>
      <c r="G675" s="11"/>
      <c r="H675" s="11"/>
      <c r="I675" s="11"/>
      <c r="J675" s="11"/>
      <c r="K675" s="11"/>
      <c r="L675" s="15"/>
      <c r="M675" s="15"/>
      <c r="N675" s="15"/>
      <c r="O675" s="15"/>
      <c r="P675" s="15"/>
      <c r="Q675" s="11"/>
      <c r="R675" s="11"/>
      <c r="S675" s="11"/>
      <c r="T675" s="11"/>
      <c r="U675" s="15"/>
      <c r="V675" s="11"/>
      <c r="W675" s="11"/>
      <c r="X675" s="11"/>
      <c r="Y675" s="11"/>
      <c r="Z675" s="11"/>
    </row>
    <row r="676">
      <c r="A676" s="18"/>
      <c r="B676" s="11"/>
      <c r="C676" s="11"/>
      <c r="D676" s="11"/>
      <c r="E676" s="11"/>
      <c r="F676" s="11"/>
      <c r="G676" s="11"/>
      <c r="H676" s="11"/>
      <c r="I676" s="11"/>
      <c r="J676" s="11"/>
      <c r="K676" s="11"/>
      <c r="L676" s="15"/>
      <c r="M676" s="15"/>
      <c r="N676" s="15"/>
      <c r="O676" s="15"/>
      <c r="P676" s="15"/>
      <c r="Q676" s="11"/>
      <c r="R676" s="11"/>
      <c r="S676" s="11"/>
      <c r="T676" s="11"/>
      <c r="U676" s="15"/>
      <c r="V676" s="11"/>
      <c r="W676" s="11"/>
      <c r="X676" s="11"/>
      <c r="Y676" s="11"/>
      <c r="Z676" s="11"/>
    </row>
    <row r="677">
      <c r="A677" s="18"/>
      <c r="B677" s="11"/>
      <c r="C677" s="11"/>
      <c r="D677" s="11"/>
      <c r="E677" s="11"/>
      <c r="F677" s="11"/>
      <c r="G677" s="11"/>
      <c r="H677" s="11"/>
      <c r="I677" s="11"/>
      <c r="J677" s="11"/>
      <c r="K677" s="11"/>
      <c r="L677" s="15"/>
      <c r="M677" s="15"/>
      <c r="N677" s="15"/>
      <c r="O677" s="15"/>
      <c r="P677" s="15"/>
      <c r="Q677" s="11"/>
      <c r="R677" s="11"/>
      <c r="S677" s="11"/>
      <c r="T677" s="11"/>
      <c r="U677" s="15"/>
      <c r="V677" s="11"/>
      <c r="W677" s="11"/>
      <c r="X677" s="11"/>
      <c r="Y677" s="11"/>
      <c r="Z677" s="11"/>
    </row>
    <row r="678">
      <c r="A678" s="18"/>
      <c r="B678" s="11"/>
      <c r="C678" s="11"/>
      <c r="D678" s="11"/>
      <c r="E678" s="11"/>
      <c r="F678" s="11"/>
      <c r="G678" s="11"/>
      <c r="H678" s="11"/>
      <c r="I678" s="11"/>
      <c r="J678" s="11"/>
      <c r="K678" s="11"/>
      <c r="L678" s="15"/>
      <c r="M678" s="15"/>
      <c r="N678" s="15"/>
      <c r="O678" s="15"/>
      <c r="P678" s="15"/>
      <c r="Q678" s="11"/>
      <c r="R678" s="11"/>
      <c r="S678" s="11"/>
      <c r="T678" s="11"/>
      <c r="U678" s="15"/>
      <c r="V678" s="11"/>
      <c r="W678" s="11"/>
      <c r="X678" s="11"/>
      <c r="Y678" s="11"/>
      <c r="Z678" s="11"/>
    </row>
    <row r="679">
      <c r="A679" s="18"/>
      <c r="B679" s="11"/>
      <c r="C679" s="11"/>
      <c r="D679" s="11"/>
      <c r="E679" s="11"/>
      <c r="F679" s="11"/>
      <c r="G679" s="11"/>
      <c r="H679" s="11"/>
      <c r="I679" s="11"/>
      <c r="J679" s="11"/>
      <c r="K679" s="11"/>
      <c r="L679" s="15"/>
      <c r="M679" s="15"/>
      <c r="N679" s="15"/>
      <c r="O679" s="15"/>
      <c r="P679" s="15"/>
      <c r="Q679" s="11"/>
      <c r="R679" s="11"/>
      <c r="S679" s="11"/>
      <c r="T679" s="11"/>
      <c r="U679" s="15"/>
      <c r="V679" s="11"/>
      <c r="W679" s="11"/>
      <c r="X679" s="11"/>
      <c r="Y679" s="11"/>
      <c r="Z679" s="11"/>
    </row>
    <row r="680">
      <c r="A680" s="18"/>
      <c r="B680" s="11"/>
      <c r="C680" s="11"/>
      <c r="D680" s="11"/>
      <c r="E680" s="11"/>
      <c r="F680" s="11"/>
      <c r="G680" s="11"/>
      <c r="H680" s="11"/>
      <c r="I680" s="11"/>
      <c r="J680" s="11"/>
      <c r="K680" s="11"/>
      <c r="L680" s="15"/>
      <c r="M680" s="15"/>
      <c r="N680" s="15"/>
      <c r="O680" s="15"/>
      <c r="P680" s="15"/>
      <c r="Q680" s="11"/>
      <c r="R680" s="11"/>
      <c r="S680" s="11"/>
      <c r="T680" s="11"/>
      <c r="U680" s="15"/>
      <c r="V680" s="11"/>
      <c r="W680" s="11"/>
      <c r="X680" s="11"/>
      <c r="Y680" s="11"/>
      <c r="Z680" s="11"/>
    </row>
    <row r="681">
      <c r="A681" s="18"/>
      <c r="B681" s="11"/>
      <c r="C681" s="11"/>
      <c r="D681" s="11"/>
      <c r="E681" s="11"/>
      <c r="F681" s="11"/>
      <c r="G681" s="11"/>
      <c r="H681" s="11"/>
      <c r="I681" s="11"/>
      <c r="J681" s="11"/>
      <c r="K681" s="11"/>
      <c r="L681" s="15"/>
      <c r="M681" s="15"/>
      <c r="N681" s="15"/>
      <c r="O681" s="15"/>
      <c r="P681" s="15"/>
      <c r="Q681" s="11"/>
      <c r="R681" s="11"/>
      <c r="S681" s="11"/>
      <c r="T681" s="11"/>
      <c r="U681" s="15"/>
      <c r="V681" s="11"/>
      <c r="W681" s="11"/>
      <c r="X681" s="11"/>
      <c r="Y681" s="11"/>
      <c r="Z681" s="11"/>
    </row>
    <row r="682">
      <c r="A682" s="18"/>
      <c r="B682" s="11"/>
      <c r="C682" s="11"/>
      <c r="D682" s="11"/>
      <c r="E682" s="11"/>
      <c r="F682" s="11"/>
      <c r="G682" s="11"/>
      <c r="H682" s="11"/>
      <c r="I682" s="11"/>
      <c r="J682" s="11"/>
      <c r="K682" s="11"/>
      <c r="L682" s="15"/>
      <c r="M682" s="15"/>
      <c r="N682" s="15"/>
      <c r="O682" s="15"/>
      <c r="P682" s="15"/>
      <c r="Q682" s="11"/>
      <c r="R682" s="11"/>
      <c r="S682" s="11"/>
      <c r="T682" s="11"/>
      <c r="U682" s="15"/>
      <c r="V682" s="11"/>
      <c r="W682" s="11"/>
      <c r="X682" s="11"/>
      <c r="Y682" s="11"/>
      <c r="Z682" s="11"/>
    </row>
    <row r="683">
      <c r="A683" s="18"/>
      <c r="B683" s="11"/>
      <c r="C683" s="11"/>
      <c r="D683" s="11"/>
      <c r="E683" s="11"/>
      <c r="F683" s="11"/>
      <c r="G683" s="11"/>
      <c r="H683" s="11"/>
      <c r="I683" s="11"/>
      <c r="J683" s="11"/>
      <c r="K683" s="11"/>
      <c r="L683" s="15"/>
      <c r="M683" s="15"/>
      <c r="N683" s="15"/>
      <c r="O683" s="15"/>
      <c r="P683" s="15"/>
      <c r="Q683" s="11"/>
      <c r="R683" s="11"/>
      <c r="S683" s="11"/>
      <c r="T683" s="11"/>
      <c r="U683" s="15"/>
      <c r="V683" s="11"/>
      <c r="W683" s="11"/>
      <c r="X683" s="11"/>
      <c r="Y683" s="11"/>
      <c r="Z683" s="11"/>
    </row>
    <row r="684">
      <c r="A684" s="18"/>
      <c r="B684" s="11"/>
      <c r="C684" s="11"/>
      <c r="D684" s="11"/>
      <c r="E684" s="11"/>
      <c r="F684" s="11"/>
      <c r="G684" s="11"/>
      <c r="H684" s="11"/>
      <c r="I684" s="11"/>
      <c r="J684" s="11"/>
      <c r="K684" s="11"/>
      <c r="L684" s="15"/>
      <c r="M684" s="15"/>
      <c r="N684" s="15"/>
      <c r="O684" s="15"/>
      <c r="P684" s="15"/>
      <c r="Q684" s="11"/>
      <c r="R684" s="11"/>
      <c r="S684" s="11"/>
      <c r="T684" s="11"/>
      <c r="U684" s="15"/>
      <c r="V684" s="11"/>
      <c r="W684" s="11"/>
      <c r="X684" s="11"/>
      <c r="Y684" s="11"/>
      <c r="Z684" s="11"/>
    </row>
    <row r="685">
      <c r="A685" s="18"/>
      <c r="B685" s="11"/>
      <c r="C685" s="11"/>
      <c r="D685" s="11"/>
      <c r="E685" s="11"/>
      <c r="F685" s="11"/>
      <c r="G685" s="11"/>
      <c r="H685" s="11"/>
      <c r="I685" s="11"/>
      <c r="J685" s="11"/>
      <c r="K685" s="11"/>
      <c r="L685" s="15"/>
      <c r="M685" s="15"/>
      <c r="N685" s="15"/>
      <c r="O685" s="15"/>
      <c r="P685" s="15"/>
      <c r="Q685" s="11"/>
      <c r="R685" s="11"/>
      <c r="S685" s="11"/>
      <c r="T685" s="11"/>
      <c r="U685" s="15"/>
      <c r="V685" s="11"/>
      <c r="W685" s="11"/>
      <c r="X685" s="11"/>
      <c r="Y685" s="11"/>
      <c r="Z685" s="11"/>
    </row>
    <row r="686">
      <c r="A686" s="18"/>
      <c r="B686" s="11"/>
      <c r="C686" s="11"/>
      <c r="D686" s="11"/>
      <c r="E686" s="11"/>
      <c r="F686" s="11"/>
      <c r="G686" s="11"/>
      <c r="H686" s="11"/>
      <c r="I686" s="11"/>
      <c r="J686" s="11"/>
      <c r="K686" s="11"/>
      <c r="L686" s="15"/>
      <c r="M686" s="15"/>
      <c r="N686" s="15"/>
      <c r="O686" s="15"/>
      <c r="P686" s="15"/>
      <c r="Q686" s="11"/>
      <c r="R686" s="11"/>
      <c r="S686" s="11"/>
      <c r="T686" s="11"/>
      <c r="U686" s="15"/>
      <c r="V686" s="11"/>
      <c r="W686" s="11"/>
      <c r="X686" s="11"/>
      <c r="Y686" s="11"/>
      <c r="Z686" s="11"/>
    </row>
    <row r="687">
      <c r="A687" s="18"/>
      <c r="B687" s="11"/>
      <c r="C687" s="11"/>
      <c r="D687" s="11"/>
      <c r="E687" s="11"/>
      <c r="F687" s="11"/>
      <c r="G687" s="11"/>
      <c r="H687" s="11"/>
      <c r="I687" s="11"/>
      <c r="J687" s="11"/>
      <c r="K687" s="11"/>
      <c r="L687" s="15"/>
      <c r="M687" s="15"/>
      <c r="N687" s="15"/>
      <c r="O687" s="15"/>
      <c r="P687" s="15"/>
      <c r="Q687" s="11"/>
      <c r="R687" s="11"/>
      <c r="S687" s="11"/>
      <c r="T687" s="11"/>
      <c r="U687" s="15"/>
      <c r="V687" s="11"/>
      <c r="W687" s="11"/>
      <c r="X687" s="11"/>
      <c r="Y687" s="11"/>
      <c r="Z687" s="11"/>
    </row>
    <row r="688">
      <c r="A688" s="18"/>
      <c r="B688" s="11"/>
      <c r="C688" s="11"/>
      <c r="D688" s="11"/>
      <c r="E688" s="11"/>
      <c r="F688" s="11"/>
      <c r="G688" s="11"/>
      <c r="H688" s="11"/>
      <c r="I688" s="11"/>
      <c r="J688" s="11"/>
      <c r="K688" s="11"/>
      <c r="L688" s="15"/>
      <c r="M688" s="15"/>
      <c r="N688" s="15"/>
      <c r="O688" s="15"/>
      <c r="P688" s="15"/>
      <c r="Q688" s="11"/>
      <c r="R688" s="11"/>
      <c r="S688" s="11"/>
      <c r="T688" s="11"/>
      <c r="U688" s="15"/>
      <c r="V688" s="11"/>
      <c r="W688" s="11"/>
      <c r="X688" s="11"/>
      <c r="Y688" s="11"/>
      <c r="Z688" s="11"/>
    </row>
    <row r="689">
      <c r="A689" s="18"/>
      <c r="B689" s="11"/>
      <c r="C689" s="11"/>
      <c r="D689" s="11"/>
      <c r="E689" s="11"/>
      <c r="F689" s="11"/>
      <c r="G689" s="11"/>
      <c r="H689" s="11"/>
      <c r="I689" s="11"/>
      <c r="J689" s="11"/>
      <c r="K689" s="11"/>
      <c r="L689" s="15"/>
      <c r="M689" s="15"/>
      <c r="N689" s="15"/>
      <c r="O689" s="15"/>
      <c r="P689" s="15"/>
      <c r="Q689" s="11"/>
      <c r="R689" s="11"/>
      <c r="S689" s="11"/>
      <c r="T689" s="11"/>
      <c r="U689" s="15"/>
      <c r="V689" s="11"/>
      <c r="W689" s="11"/>
      <c r="X689" s="11"/>
      <c r="Y689" s="11"/>
      <c r="Z689" s="11"/>
    </row>
    <row r="690">
      <c r="A690" s="18"/>
      <c r="B690" s="11"/>
      <c r="C690" s="11"/>
      <c r="D690" s="11"/>
      <c r="E690" s="11"/>
      <c r="F690" s="11"/>
      <c r="G690" s="11"/>
      <c r="H690" s="11"/>
      <c r="I690" s="11"/>
      <c r="J690" s="11"/>
      <c r="K690" s="11"/>
      <c r="L690" s="15"/>
      <c r="M690" s="15"/>
      <c r="N690" s="15"/>
      <c r="O690" s="15"/>
      <c r="P690" s="15"/>
      <c r="Q690" s="11"/>
      <c r="R690" s="11"/>
      <c r="S690" s="11"/>
      <c r="T690" s="11"/>
      <c r="U690" s="15"/>
      <c r="V690" s="11"/>
      <c r="W690" s="11"/>
      <c r="X690" s="11"/>
      <c r="Y690" s="11"/>
      <c r="Z690" s="11"/>
    </row>
    <row r="691">
      <c r="A691" s="18"/>
      <c r="B691" s="11"/>
      <c r="C691" s="11"/>
      <c r="D691" s="11"/>
      <c r="E691" s="11"/>
      <c r="F691" s="11"/>
      <c r="G691" s="11"/>
      <c r="H691" s="11"/>
      <c r="I691" s="11"/>
      <c r="J691" s="11"/>
      <c r="K691" s="11"/>
      <c r="L691" s="15"/>
      <c r="M691" s="15"/>
      <c r="N691" s="15"/>
      <c r="O691" s="15"/>
      <c r="P691" s="15"/>
      <c r="Q691" s="11"/>
      <c r="R691" s="11"/>
      <c r="S691" s="11"/>
      <c r="T691" s="11"/>
      <c r="U691" s="15"/>
      <c r="V691" s="11"/>
      <c r="W691" s="11"/>
      <c r="X691" s="11"/>
      <c r="Y691" s="11"/>
      <c r="Z691" s="11"/>
    </row>
    <row r="692">
      <c r="A692" s="18"/>
      <c r="B692" s="11"/>
      <c r="C692" s="11"/>
      <c r="D692" s="11"/>
      <c r="E692" s="11"/>
      <c r="F692" s="11"/>
      <c r="G692" s="11"/>
      <c r="H692" s="11"/>
      <c r="I692" s="11"/>
      <c r="J692" s="11"/>
      <c r="K692" s="11"/>
      <c r="L692" s="15"/>
      <c r="M692" s="15"/>
      <c r="N692" s="15"/>
      <c r="O692" s="15"/>
      <c r="P692" s="15"/>
      <c r="Q692" s="11"/>
      <c r="R692" s="11"/>
      <c r="S692" s="11"/>
      <c r="T692" s="11"/>
      <c r="U692" s="15"/>
      <c r="V692" s="11"/>
      <c r="W692" s="11"/>
      <c r="X692" s="11"/>
      <c r="Y692" s="11"/>
      <c r="Z692" s="11"/>
    </row>
    <row r="693">
      <c r="A693" s="18"/>
      <c r="B693" s="11"/>
      <c r="C693" s="11"/>
      <c r="D693" s="11"/>
      <c r="E693" s="11"/>
      <c r="F693" s="11"/>
      <c r="G693" s="11"/>
      <c r="H693" s="11"/>
      <c r="I693" s="11"/>
      <c r="J693" s="11"/>
      <c r="K693" s="11"/>
      <c r="L693" s="15"/>
      <c r="M693" s="15"/>
      <c r="N693" s="15"/>
      <c r="O693" s="15"/>
      <c r="P693" s="15"/>
      <c r="Q693" s="11"/>
      <c r="R693" s="11"/>
      <c r="S693" s="11"/>
      <c r="T693" s="11"/>
      <c r="U693" s="15"/>
      <c r="V693" s="11"/>
      <c r="W693" s="11"/>
      <c r="X693" s="11"/>
      <c r="Y693" s="11"/>
      <c r="Z693" s="11"/>
    </row>
    <row r="694">
      <c r="A694" s="18"/>
      <c r="B694" s="11"/>
      <c r="C694" s="11"/>
      <c r="D694" s="11"/>
      <c r="E694" s="11"/>
      <c r="F694" s="11"/>
      <c r="G694" s="11"/>
      <c r="H694" s="11"/>
      <c r="I694" s="11"/>
      <c r="J694" s="11"/>
      <c r="K694" s="11"/>
      <c r="L694" s="15"/>
      <c r="M694" s="15"/>
      <c r="N694" s="15"/>
      <c r="O694" s="15"/>
      <c r="P694" s="15"/>
      <c r="Q694" s="11"/>
      <c r="R694" s="11"/>
      <c r="S694" s="11"/>
      <c r="T694" s="11"/>
      <c r="U694" s="15"/>
      <c r="V694" s="11"/>
      <c r="W694" s="11"/>
      <c r="X694" s="11"/>
      <c r="Y694" s="11"/>
      <c r="Z694" s="11"/>
    </row>
    <row r="695">
      <c r="A695" s="18"/>
      <c r="B695" s="11"/>
      <c r="C695" s="11"/>
      <c r="D695" s="11"/>
      <c r="E695" s="11"/>
      <c r="F695" s="11"/>
      <c r="G695" s="11"/>
      <c r="H695" s="11"/>
      <c r="I695" s="11"/>
      <c r="J695" s="11"/>
      <c r="K695" s="11"/>
      <c r="L695" s="15"/>
      <c r="M695" s="15"/>
      <c r="N695" s="15"/>
      <c r="O695" s="15"/>
      <c r="P695" s="15"/>
      <c r="Q695" s="11"/>
      <c r="R695" s="11"/>
      <c r="S695" s="11"/>
      <c r="T695" s="11"/>
      <c r="U695" s="15"/>
      <c r="V695" s="11"/>
      <c r="W695" s="11"/>
      <c r="X695" s="11"/>
      <c r="Y695" s="11"/>
      <c r="Z695" s="11"/>
    </row>
    <row r="696">
      <c r="A696" s="18"/>
      <c r="B696" s="11"/>
      <c r="C696" s="11"/>
      <c r="D696" s="11"/>
      <c r="E696" s="11"/>
      <c r="F696" s="11"/>
      <c r="G696" s="11"/>
      <c r="H696" s="11"/>
      <c r="I696" s="11"/>
      <c r="J696" s="11"/>
      <c r="K696" s="11"/>
      <c r="L696" s="15"/>
      <c r="M696" s="15"/>
      <c r="N696" s="15"/>
      <c r="O696" s="15"/>
      <c r="P696" s="15"/>
      <c r="Q696" s="11"/>
      <c r="R696" s="11"/>
      <c r="S696" s="11"/>
      <c r="T696" s="11"/>
      <c r="U696" s="15"/>
      <c r="V696" s="11"/>
      <c r="W696" s="11"/>
      <c r="X696" s="11"/>
      <c r="Y696" s="11"/>
      <c r="Z696" s="11"/>
    </row>
    <row r="697">
      <c r="A697" s="18"/>
      <c r="B697" s="11"/>
      <c r="C697" s="11"/>
      <c r="D697" s="11"/>
      <c r="E697" s="11"/>
      <c r="F697" s="11"/>
      <c r="G697" s="11"/>
      <c r="H697" s="11"/>
      <c r="I697" s="11"/>
      <c r="J697" s="11"/>
      <c r="K697" s="11"/>
      <c r="L697" s="15"/>
      <c r="M697" s="15"/>
      <c r="N697" s="15"/>
      <c r="O697" s="15"/>
      <c r="P697" s="15"/>
      <c r="Q697" s="11"/>
      <c r="R697" s="11"/>
      <c r="S697" s="11"/>
      <c r="T697" s="11"/>
      <c r="U697" s="15"/>
      <c r="V697" s="11"/>
      <c r="W697" s="11"/>
      <c r="X697" s="11"/>
      <c r="Y697" s="11"/>
      <c r="Z697" s="11"/>
    </row>
    <row r="698">
      <c r="A698" s="18"/>
      <c r="B698" s="11"/>
      <c r="C698" s="11"/>
      <c r="D698" s="11"/>
      <c r="E698" s="11"/>
      <c r="F698" s="11"/>
      <c r="G698" s="11"/>
      <c r="H698" s="11"/>
      <c r="I698" s="11"/>
      <c r="J698" s="11"/>
      <c r="K698" s="11"/>
      <c r="L698" s="15"/>
      <c r="M698" s="15"/>
      <c r="N698" s="15"/>
      <c r="O698" s="15"/>
      <c r="P698" s="15"/>
      <c r="Q698" s="11"/>
      <c r="R698" s="11"/>
      <c r="S698" s="11"/>
      <c r="T698" s="11"/>
      <c r="U698" s="15"/>
      <c r="V698" s="11"/>
      <c r="W698" s="11"/>
      <c r="X698" s="11"/>
      <c r="Y698" s="11"/>
      <c r="Z698" s="11"/>
    </row>
    <row r="699">
      <c r="A699" s="18"/>
      <c r="B699" s="11"/>
      <c r="C699" s="11"/>
      <c r="D699" s="11"/>
      <c r="E699" s="11"/>
      <c r="F699" s="11"/>
      <c r="G699" s="11"/>
      <c r="H699" s="11"/>
      <c r="I699" s="11"/>
      <c r="J699" s="11"/>
      <c r="K699" s="11"/>
      <c r="L699" s="15"/>
      <c r="M699" s="15"/>
      <c r="N699" s="15"/>
      <c r="O699" s="15"/>
      <c r="P699" s="15"/>
      <c r="Q699" s="11"/>
      <c r="R699" s="11"/>
      <c r="S699" s="11"/>
      <c r="T699" s="11"/>
      <c r="U699" s="15"/>
      <c r="V699" s="11"/>
      <c r="W699" s="11"/>
      <c r="X699" s="11"/>
      <c r="Y699" s="11"/>
      <c r="Z699" s="11"/>
    </row>
    <row r="700">
      <c r="A700" s="18"/>
      <c r="B700" s="11"/>
      <c r="C700" s="11"/>
      <c r="D700" s="11"/>
      <c r="E700" s="11"/>
      <c r="F700" s="11"/>
      <c r="G700" s="11"/>
      <c r="H700" s="11"/>
      <c r="I700" s="11"/>
      <c r="J700" s="11"/>
      <c r="K700" s="11"/>
      <c r="L700" s="15"/>
      <c r="M700" s="15"/>
      <c r="N700" s="15"/>
      <c r="O700" s="15"/>
      <c r="P700" s="15"/>
      <c r="Q700" s="11"/>
      <c r="R700" s="11"/>
      <c r="S700" s="11"/>
      <c r="T700" s="11"/>
      <c r="U700" s="15"/>
      <c r="V700" s="11"/>
      <c r="W700" s="11"/>
      <c r="X700" s="11"/>
      <c r="Y700" s="11"/>
      <c r="Z700" s="11"/>
    </row>
    <row r="701">
      <c r="A701" s="18"/>
      <c r="B701" s="11"/>
      <c r="C701" s="11"/>
      <c r="D701" s="11"/>
      <c r="E701" s="11"/>
      <c r="F701" s="11"/>
      <c r="G701" s="11"/>
      <c r="H701" s="11"/>
      <c r="I701" s="11"/>
      <c r="J701" s="11"/>
      <c r="K701" s="11"/>
      <c r="L701" s="15"/>
      <c r="M701" s="15"/>
      <c r="N701" s="15"/>
      <c r="O701" s="15"/>
      <c r="P701" s="15"/>
      <c r="Q701" s="11"/>
      <c r="R701" s="11"/>
      <c r="S701" s="11"/>
      <c r="T701" s="11"/>
      <c r="U701" s="15"/>
      <c r="V701" s="11"/>
      <c r="W701" s="11"/>
      <c r="X701" s="11"/>
      <c r="Y701" s="11"/>
      <c r="Z701" s="11"/>
    </row>
    <row r="702">
      <c r="A702" s="18"/>
      <c r="B702" s="11"/>
      <c r="C702" s="11"/>
      <c r="D702" s="11"/>
      <c r="E702" s="11"/>
      <c r="F702" s="11"/>
      <c r="G702" s="11"/>
      <c r="H702" s="11"/>
      <c r="I702" s="11"/>
      <c r="J702" s="11"/>
      <c r="K702" s="11"/>
      <c r="L702" s="15"/>
      <c r="M702" s="15"/>
      <c r="N702" s="15"/>
      <c r="O702" s="15"/>
      <c r="P702" s="15"/>
      <c r="Q702" s="11"/>
      <c r="R702" s="11"/>
      <c r="S702" s="11"/>
      <c r="T702" s="11"/>
      <c r="U702" s="15"/>
      <c r="V702" s="11"/>
      <c r="W702" s="11"/>
      <c r="X702" s="11"/>
      <c r="Y702" s="11"/>
      <c r="Z702" s="11"/>
    </row>
    <row r="703">
      <c r="A703" s="18"/>
      <c r="B703" s="11"/>
      <c r="C703" s="11"/>
      <c r="D703" s="11"/>
      <c r="E703" s="11"/>
      <c r="F703" s="11"/>
      <c r="G703" s="11"/>
      <c r="H703" s="11"/>
      <c r="I703" s="11"/>
      <c r="J703" s="11"/>
      <c r="K703" s="11"/>
      <c r="L703" s="15"/>
      <c r="M703" s="15"/>
      <c r="N703" s="15"/>
      <c r="O703" s="15"/>
      <c r="P703" s="15"/>
      <c r="Q703" s="11"/>
      <c r="R703" s="11"/>
      <c r="S703" s="11"/>
      <c r="T703" s="11"/>
      <c r="U703" s="15"/>
      <c r="V703" s="11"/>
      <c r="W703" s="11"/>
      <c r="X703" s="11"/>
      <c r="Y703" s="11"/>
      <c r="Z703" s="11"/>
    </row>
    <row r="704">
      <c r="A704" s="18"/>
      <c r="B704" s="11"/>
      <c r="C704" s="11"/>
      <c r="D704" s="11"/>
      <c r="E704" s="11"/>
      <c r="F704" s="11"/>
      <c r="G704" s="11"/>
      <c r="H704" s="11"/>
      <c r="I704" s="11"/>
      <c r="J704" s="11"/>
      <c r="K704" s="11"/>
      <c r="L704" s="15"/>
      <c r="M704" s="15"/>
      <c r="N704" s="15"/>
      <c r="O704" s="15"/>
      <c r="P704" s="15"/>
      <c r="Q704" s="11"/>
      <c r="R704" s="11"/>
      <c r="S704" s="11"/>
      <c r="T704" s="11"/>
      <c r="U704" s="15"/>
      <c r="V704" s="11"/>
      <c r="W704" s="11"/>
      <c r="X704" s="11"/>
      <c r="Y704" s="11"/>
      <c r="Z704" s="11"/>
    </row>
    <row r="705">
      <c r="A705" s="18"/>
      <c r="B705" s="11"/>
      <c r="C705" s="11"/>
      <c r="D705" s="11"/>
      <c r="E705" s="11"/>
      <c r="F705" s="11"/>
      <c r="G705" s="11"/>
      <c r="H705" s="11"/>
      <c r="I705" s="11"/>
      <c r="J705" s="11"/>
      <c r="K705" s="11"/>
      <c r="L705" s="15"/>
      <c r="M705" s="15"/>
      <c r="N705" s="15"/>
      <c r="O705" s="15"/>
      <c r="P705" s="15"/>
      <c r="Q705" s="11"/>
      <c r="R705" s="11"/>
      <c r="S705" s="11"/>
      <c r="T705" s="11"/>
      <c r="U705" s="15"/>
      <c r="V705" s="11"/>
      <c r="W705" s="11"/>
      <c r="X705" s="11"/>
      <c r="Y705" s="11"/>
      <c r="Z705" s="11"/>
    </row>
    <row r="706">
      <c r="A706" s="18"/>
      <c r="B706" s="11"/>
      <c r="C706" s="11"/>
      <c r="D706" s="11"/>
      <c r="E706" s="11"/>
      <c r="F706" s="11"/>
      <c r="G706" s="11"/>
      <c r="H706" s="11"/>
      <c r="I706" s="11"/>
      <c r="J706" s="11"/>
      <c r="K706" s="11"/>
      <c r="L706" s="15"/>
      <c r="M706" s="15"/>
      <c r="N706" s="15"/>
      <c r="O706" s="15"/>
      <c r="P706" s="15"/>
      <c r="Q706" s="11"/>
      <c r="R706" s="11"/>
      <c r="S706" s="11"/>
      <c r="T706" s="11"/>
      <c r="U706" s="15"/>
      <c r="V706" s="11"/>
      <c r="W706" s="11"/>
      <c r="X706" s="11"/>
      <c r="Y706" s="11"/>
      <c r="Z706" s="11"/>
    </row>
    <row r="707">
      <c r="A707" s="18"/>
      <c r="B707" s="11"/>
      <c r="C707" s="11"/>
      <c r="D707" s="11"/>
      <c r="E707" s="11"/>
      <c r="F707" s="11"/>
      <c r="G707" s="11"/>
      <c r="H707" s="11"/>
      <c r="I707" s="11"/>
      <c r="J707" s="11"/>
      <c r="K707" s="11"/>
      <c r="L707" s="15"/>
      <c r="M707" s="15"/>
      <c r="N707" s="15"/>
      <c r="O707" s="15"/>
      <c r="P707" s="15"/>
      <c r="Q707" s="11"/>
      <c r="R707" s="11"/>
      <c r="S707" s="11"/>
      <c r="T707" s="11"/>
      <c r="U707" s="15"/>
      <c r="V707" s="11"/>
      <c r="W707" s="11"/>
      <c r="X707" s="11"/>
      <c r="Y707" s="11"/>
      <c r="Z707" s="11"/>
    </row>
    <row r="708">
      <c r="A708" s="18"/>
      <c r="B708" s="11"/>
      <c r="C708" s="11"/>
      <c r="D708" s="11"/>
      <c r="E708" s="11"/>
      <c r="F708" s="11"/>
      <c r="G708" s="11"/>
      <c r="H708" s="11"/>
      <c r="I708" s="11"/>
      <c r="J708" s="11"/>
      <c r="K708" s="11"/>
      <c r="L708" s="15"/>
      <c r="M708" s="15"/>
      <c r="N708" s="15"/>
      <c r="O708" s="15"/>
      <c r="P708" s="15"/>
      <c r="Q708" s="11"/>
      <c r="R708" s="11"/>
      <c r="S708" s="11"/>
      <c r="T708" s="11"/>
      <c r="U708" s="15"/>
      <c r="V708" s="11"/>
      <c r="W708" s="11"/>
      <c r="X708" s="11"/>
      <c r="Y708" s="11"/>
      <c r="Z708" s="11"/>
    </row>
    <row r="709">
      <c r="A709" s="18"/>
      <c r="B709" s="11"/>
      <c r="C709" s="11"/>
      <c r="D709" s="11"/>
      <c r="E709" s="11"/>
      <c r="F709" s="11"/>
      <c r="G709" s="11"/>
      <c r="H709" s="11"/>
      <c r="I709" s="11"/>
      <c r="J709" s="11"/>
      <c r="K709" s="11"/>
      <c r="L709" s="15"/>
      <c r="M709" s="15"/>
      <c r="N709" s="15"/>
      <c r="O709" s="15"/>
      <c r="P709" s="15"/>
      <c r="Q709" s="11"/>
      <c r="R709" s="11"/>
      <c r="S709" s="11"/>
      <c r="T709" s="11"/>
      <c r="U709" s="15"/>
      <c r="V709" s="11"/>
      <c r="W709" s="11"/>
      <c r="X709" s="11"/>
      <c r="Y709" s="11"/>
      <c r="Z709" s="11"/>
    </row>
    <row r="710">
      <c r="A710" s="18"/>
      <c r="B710" s="11"/>
      <c r="C710" s="11"/>
      <c r="D710" s="11"/>
      <c r="E710" s="11"/>
      <c r="F710" s="11"/>
      <c r="G710" s="11"/>
      <c r="H710" s="11"/>
      <c r="I710" s="11"/>
      <c r="J710" s="11"/>
      <c r="K710" s="11"/>
      <c r="L710" s="15"/>
      <c r="M710" s="15"/>
      <c r="N710" s="15"/>
      <c r="O710" s="15"/>
      <c r="P710" s="15"/>
      <c r="Q710" s="11"/>
      <c r="R710" s="11"/>
      <c r="S710" s="11"/>
      <c r="T710" s="11"/>
      <c r="U710" s="15"/>
      <c r="V710" s="11"/>
      <c r="W710" s="11"/>
      <c r="X710" s="11"/>
      <c r="Y710" s="11"/>
      <c r="Z710" s="11"/>
    </row>
    <row r="711">
      <c r="A711" s="18"/>
      <c r="B711" s="11"/>
      <c r="C711" s="11"/>
      <c r="D711" s="11"/>
      <c r="E711" s="11"/>
      <c r="F711" s="11"/>
      <c r="G711" s="11"/>
      <c r="H711" s="11"/>
      <c r="I711" s="11"/>
      <c r="J711" s="11"/>
      <c r="K711" s="11"/>
      <c r="L711" s="15"/>
      <c r="M711" s="15"/>
      <c r="N711" s="15"/>
      <c r="O711" s="15"/>
      <c r="P711" s="15"/>
      <c r="Q711" s="11"/>
      <c r="R711" s="11"/>
      <c r="S711" s="11"/>
      <c r="T711" s="11"/>
      <c r="U711" s="15"/>
      <c r="V711" s="11"/>
      <c r="W711" s="11"/>
      <c r="X711" s="11"/>
      <c r="Y711" s="11"/>
      <c r="Z711" s="11"/>
    </row>
    <row r="712">
      <c r="A712" s="18"/>
      <c r="B712" s="11"/>
      <c r="C712" s="11"/>
      <c r="D712" s="11"/>
      <c r="E712" s="11"/>
      <c r="F712" s="11"/>
      <c r="G712" s="11"/>
      <c r="H712" s="11"/>
      <c r="I712" s="11"/>
      <c r="J712" s="11"/>
      <c r="K712" s="11"/>
      <c r="L712" s="15"/>
      <c r="M712" s="15"/>
      <c r="N712" s="15"/>
      <c r="O712" s="15"/>
      <c r="P712" s="15"/>
      <c r="Q712" s="11"/>
      <c r="R712" s="11"/>
      <c r="S712" s="11"/>
      <c r="T712" s="11"/>
      <c r="U712" s="15"/>
      <c r="V712" s="11"/>
      <c r="W712" s="11"/>
      <c r="X712" s="11"/>
      <c r="Y712" s="11"/>
      <c r="Z712" s="11"/>
    </row>
    <row r="713">
      <c r="A713" s="18"/>
      <c r="B713" s="11"/>
      <c r="C713" s="11"/>
      <c r="D713" s="11"/>
      <c r="E713" s="11"/>
      <c r="F713" s="11"/>
      <c r="G713" s="11"/>
      <c r="H713" s="11"/>
      <c r="I713" s="11"/>
      <c r="J713" s="11"/>
      <c r="K713" s="11"/>
      <c r="L713" s="15"/>
      <c r="M713" s="15"/>
      <c r="N713" s="15"/>
      <c r="O713" s="15"/>
      <c r="P713" s="15"/>
      <c r="Q713" s="11"/>
      <c r="R713" s="11"/>
      <c r="S713" s="11"/>
      <c r="T713" s="11"/>
      <c r="U713" s="15"/>
      <c r="V713" s="11"/>
      <c r="W713" s="11"/>
      <c r="X713" s="11"/>
      <c r="Y713" s="11"/>
      <c r="Z713" s="11"/>
    </row>
    <row r="714">
      <c r="A714" s="18"/>
      <c r="B714" s="11"/>
      <c r="C714" s="11"/>
      <c r="D714" s="11"/>
      <c r="E714" s="11"/>
      <c r="F714" s="11"/>
      <c r="G714" s="11"/>
      <c r="H714" s="11"/>
      <c r="I714" s="11"/>
      <c r="J714" s="11"/>
      <c r="K714" s="11"/>
      <c r="L714" s="15"/>
      <c r="M714" s="15"/>
      <c r="N714" s="15"/>
      <c r="O714" s="15"/>
      <c r="P714" s="15"/>
      <c r="Q714" s="11"/>
      <c r="R714" s="11"/>
      <c r="S714" s="11"/>
      <c r="T714" s="11"/>
      <c r="U714" s="15"/>
      <c r="V714" s="11"/>
      <c r="W714" s="11"/>
      <c r="X714" s="11"/>
      <c r="Y714" s="11"/>
      <c r="Z714" s="11"/>
    </row>
    <row r="715">
      <c r="A715" s="18"/>
      <c r="B715" s="11"/>
      <c r="C715" s="11"/>
      <c r="D715" s="11"/>
      <c r="E715" s="11"/>
      <c r="F715" s="11"/>
      <c r="G715" s="11"/>
      <c r="H715" s="11"/>
      <c r="I715" s="11"/>
      <c r="J715" s="11"/>
      <c r="K715" s="11"/>
      <c r="L715" s="15"/>
      <c r="M715" s="15"/>
      <c r="N715" s="15"/>
      <c r="O715" s="15"/>
      <c r="P715" s="15"/>
      <c r="Q715" s="11"/>
      <c r="R715" s="11"/>
      <c r="S715" s="11"/>
      <c r="T715" s="11"/>
      <c r="U715" s="15"/>
      <c r="V715" s="11"/>
      <c r="W715" s="11"/>
      <c r="X715" s="11"/>
      <c r="Y715" s="11"/>
      <c r="Z715" s="11"/>
    </row>
    <row r="716">
      <c r="A716" s="18"/>
      <c r="B716" s="11"/>
      <c r="C716" s="11"/>
      <c r="D716" s="11"/>
      <c r="E716" s="11"/>
      <c r="F716" s="11"/>
      <c r="G716" s="11"/>
      <c r="H716" s="11"/>
      <c r="I716" s="11"/>
      <c r="J716" s="11"/>
      <c r="K716" s="11"/>
      <c r="L716" s="15"/>
      <c r="M716" s="15"/>
      <c r="N716" s="15"/>
      <c r="O716" s="15"/>
      <c r="P716" s="15"/>
      <c r="Q716" s="11"/>
      <c r="R716" s="11"/>
      <c r="S716" s="11"/>
      <c r="T716" s="11"/>
      <c r="U716" s="15"/>
      <c r="V716" s="11"/>
      <c r="W716" s="11"/>
      <c r="X716" s="11"/>
      <c r="Y716" s="11"/>
      <c r="Z716" s="11"/>
    </row>
    <row r="717">
      <c r="A717" s="18"/>
      <c r="B717" s="11"/>
      <c r="C717" s="11"/>
      <c r="D717" s="11"/>
      <c r="E717" s="11"/>
      <c r="F717" s="11"/>
      <c r="G717" s="11"/>
      <c r="H717" s="11"/>
      <c r="I717" s="11"/>
      <c r="J717" s="11"/>
      <c r="K717" s="11"/>
      <c r="L717" s="15"/>
      <c r="M717" s="15"/>
      <c r="N717" s="15"/>
      <c r="O717" s="15"/>
      <c r="P717" s="15"/>
      <c r="Q717" s="11"/>
      <c r="R717" s="11"/>
      <c r="S717" s="11"/>
      <c r="T717" s="11"/>
      <c r="U717" s="15"/>
      <c r="V717" s="11"/>
      <c r="W717" s="11"/>
      <c r="X717" s="11"/>
      <c r="Y717" s="11"/>
      <c r="Z717" s="11"/>
    </row>
    <row r="718">
      <c r="A718" s="18"/>
      <c r="B718" s="11"/>
      <c r="C718" s="11"/>
      <c r="D718" s="11"/>
      <c r="E718" s="11"/>
      <c r="F718" s="11"/>
      <c r="G718" s="11"/>
      <c r="H718" s="11"/>
      <c r="I718" s="11"/>
      <c r="J718" s="11"/>
      <c r="K718" s="11"/>
      <c r="L718" s="15"/>
      <c r="M718" s="15"/>
      <c r="N718" s="15"/>
      <c r="O718" s="15"/>
      <c r="P718" s="15"/>
      <c r="Q718" s="11"/>
      <c r="R718" s="11"/>
      <c r="S718" s="11"/>
      <c r="T718" s="11"/>
      <c r="U718" s="15"/>
      <c r="V718" s="11"/>
      <c r="W718" s="11"/>
      <c r="X718" s="11"/>
      <c r="Y718" s="11"/>
      <c r="Z718" s="11"/>
    </row>
    <row r="719">
      <c r="A719" s="18"/>
      <c r="B719" s="11"/>
      <c r="C719" s="11"/>
      <c r="D719" s="11"/>
      <c r="E719" s="11"/>
      <c r="F719" s="11"/>
      <c r="G719" s="11"/>
      <c r="H719" s="11"/>
      <c r="I719" s="11"/>
      <c r="J719" s="11"/>
      <c r="K719" s="11"/>
      <c r="L719" s="15"/>
      <c r="M719" s="15"/>
      <c r="N719" s="15"/>
      <c r="O719" s="15"/>
      <c r="P719" s="15"/>
      <c r="Q719" s="11"/>
      <c r="R719" s="11"/>
      <c r="S719" s="11"/>
      <c r="T719" s="11"/>
      <c r="U719" s="15"/>
      <c r="V719" s="11"/>
      <c r="W719" s="11"/>
      <c r="X719" s="11"/>
      <c r="Y719" s="11"/>
      <c r="Z719" s="11"/>
    </row>
    <row r="720">
      <c r="A720" s="18"/>
      <c r="B720" s="11"/>
      <c r="C720" s="11"/>
      <c r="D720" s="11"/>
      <c r="E720" s="11"/>
      <c r="F720" s="11"/>
      <c r="G720" s="11"/>
      <c r="H720" s="11"/>
      <c r="I720" s="11"/>
      <c r="J720" s="11"/>
      <c r="K720" s="11"/>
      <c r="L720" s="15"/>
      <c r="M720" s="15"/>
      <c r="N720" s="15"/>
      <c r="O720" s="15"/>
      <c r="P720" s="15"/>
      <c r="Q720" s="11"/>
      <c r="R720" s="11"/>
      <c r="S720" s="11"/>
      <c r="T720" s="11"/>
      <c r="U720" s="15"/>
      <c r="V720" s="11"/>
      <c r="W720" s="11"/>
      <c r="X720" s="11"/>
      <c r="Y720" s="11"/>
      <c r="Z720" s="11"/>
    </row>
    <row r="721">
      <c r="A721" s="18"/>
      <c r="B721" s="11"/>
      <c r="C721" s="11"/>
      <c r="D721" s="11"/>
      <c r="E721" s="11"/>
      <c r="F721" s="11"/>
      <c r="G721" s="11"/>
      <c r="H721" s="11"/>
      <c r="I721" s="11"/>
      <c r="J721" s="11"/>
      <c r="K721" s="11"/>
      <c r="L721" s="15"/>
      <c r="M721" s="15"/>
      <c r="N721" s="15"/>
      <c r="O721" s="15"/>
      <c r="P721" s="15"/>
      <c r="Q721" s="11"/>
      <c r="R721" s="11"/>
      <c r="S721" s="11"/>
      <c r="T721" s="11"/>
      <c r="U721" s="15"/>
      <c r="V721" s="11"/>
      <c r="W721" s="11"/>
      <c r="X721" s="11"/>
      <c r="Y721" s="11"/>
      <c r="Z721" s="11"/>
    </row>
    <row r="722">
      <c r="A722" s="18"/>
      <c r="B722" s="11"/>
      <c r="C722" s="11"/>
      <c r="D722" s="11"/>
      <c r="E722" s="11"/>
      <c r="F722" s="11"/>
      <c r="G722" s="11"/>
      <c r="H722" s="11"/>
      <c r="I722" s="11"/>
      <c r="J722" s="11"/>
      <c r="K722" s="11"/>
      <c r="L722" s="15"/>
      <c r="M722" s="15"/>
      <c r="N722" s="15"/>
      <c r="O722" s="15"/>
      <c r="P722" s="15"/>
      <c r="Q722" s="11"/>
      <c r="R722" s="11"/>
      <c r="S722" s="11"/>
      <c r="T722" s="11"/>
      <c r="U722" s="15"/>
      <c r="V722" s="11"/>
      <c r="W722" s="11"/>
      <c r="X722" s="11"/>
      <c r="Y722" s="11"/>
      <c r="Z722" s="11"/>
    </row>
    <row r="723">
      <c r="A723" s="18"/>
      <c r="B723" s="11"/>
      <c r="C723" s="11"/>
      <c r="D723" s="11"/>
      <c r="E723" s="11"/>
      <c r="F723" s="11"/>
      <c r="G723" s="11"/>
      <c r="H723" s="11"/>
      <c r="I723" s="11"/>
      <c r="J723" s="11"/>
      <c r="K723" s="11"/>
      <c r="L723" s="15"/>
      <c r="M723" s="15"/>
      <c r="N723" s="15"/>
      <c r="O723" s="15"/>
      <c r="P723" s="15"/>
      <c r="Q723" s="11"/>
      <c r="R723" s="11"/>
      <c r="S723" s="11"/>
      <c r="T723" s="11"/>
      <c r="U723" s="15"/>
      <c r="V723" s="11"/>
      <c r="W723" s="11"/>
      <c r="X723" s="11"/>
      <c r="Y723" s="11"/>
      <c r="Z723" s="11"/>
    </row>
    <row r="724">
      <c r="A724" s="18"/>
      <c r="B724" s="11"/>
      <c r="C724" s="11"/>
      <c r="D724" s="11"/>
      <c r="E724" s="11"/>
      <c r="F724" s="11"/>
      <c r="G724" s="11"/>
      <c r="H724" s="11"/>
      <c r="I724" s="11"/>
      <c r="J724" s="11"/>
      <c r="K724" s="11"/>
      <c r="L724" s="15"/>
      <c r="M724" s="15"/>
      <c r="N724" s="15"/>
      <c r="O724" s="15"/>
      <c r="P724" s="15"/>
      <c r="Q724" s="11"/>
      <c r="R724" s="11"/>
      <c r="S724" s="11"/>
      <c r="T724" s="11"/>
      <c r="U724" s="15"/>
      <c r="V724" s="11"/>
      <c r="W724" s="11"/>
      <c r="X724" s="11"/>
      <c r="Y724" s="11"/>
      <c r="Z724" s="11"/>
    </row>
    <row r="725">
      <c r="A725" s="18"/>
      <c r="B725" s="11"/>
      <c r="C725" s="11"/>
      <c r="D725" s="11"/>
      <c r="E725" s="11"/>
      <c r="F725" s="11"/>
      <c r="G725" s="11"/>
      <c r="H725" s="11"/>
      <c r="I725" s="11"/>
      <c r="J725" s="11"/>
      <c r="K725" s="11"/>
      <c r="L725" s="15"/>
      <c r="M725" s="15"/>
      <c r="N725" s="15"/>
      <c r="O725" s="15"/>
      <c r="P725" s="15"/>
      <c r="Q725" s="11"/>
      <c r="R725" s="11"/>
      <c r="S725" s="11"/>
      <c r="T725" s="11"/>
      <c r="U725" s="15"/>
      <c r="V725" s="11"/>
      <c r="W725" s="11"/>
      <c r="X725" s="11"/>
      <c r="Y725" s="11"/>
      <c r="Z725" s="11"/>
    </row>
    <row r="726">
      <c r="A726" s="18"/>
      <c r="B726" s="11"/>
      <c r="C726" s="11"/>
      <c r="D726" s="11"/>
      <c r="E726" s="11"/>
      <c r="F726" s="11"/>
      <c r="G726" s="11"/>
      <c r="H726" s="11"/>
      <c r="I726" s="11"/>
      <c r="J726" s="11"/>
      <c r="K726" s="11"/>
      <c r="L726" s="15"/>
      <c r="M726" s="15"/>
      <c r="N726" s="15"/>
      <c r="O726" s="15"/>
      <c r="P726" s="15"/>
      <c r="Q726" s="11"/>
      <c r="R726" s="11"/>
      <c r="S726" s="11"/>
      <c r="T726" s="11"/>
      <c r="U726" s="15"/>
      <c r="V726" s="11"/>
      <c r="W726" s="11"/>
      <c r="X726" s="11"/>
      <c r="Y726" s="11"/>
      <c r="Z726" s="11"/>
    </row>
    <row r="727">
      <c r="A727" s="18"/>
      <c r="B727" s="11"/>
      <c r="C727" s="11"/>
      <c r="D727" s="11"/>
      <c r="E727" s="11"/>
      <c r="F727" s="11"/>
      <c r="G727" s="11"/>
      <c r="H727" s="11"/>
      <c r="I727" s="11"/>
      <c r="J727" s="11"/>
      <c r="K727" s="11"/>
      <c r="L727" s="15"/>
      <c r="M727" s="15"/>
      <c r="N727" s="15"/>
      <c r="O727" s="15"/>
      <c r="P727" s="15"/>
      <c r="Q727" s="11"/>
      <c r="R727" s="11"/>
      <c r="S727" s="11"/>
      <c r="T727" s="11"/>
      <c r="U727" s="15"/>
      <c r="V727" s="11"/>
      <c r="W727" s="11"/>
      <c r="X727" s="11"/>
      <c r="Y727" s="11"/>
      <c r="Z727" s="11"/>
    </row>
    <row r="728">
      <c r="A728" s="18"/>
      <c r="B728" s="11"/>
      <c r="C728" s="11"/>
      <c r="D728" s="11"/>
      <c r="E728" s="11"/>
      <c r="F728" s="11"/>
      <c r="G728" s="11"/>
      <c r="H728" s="11"/>
      <c r="I728" s="11"/>
      <c r="J728" s="11"/>
      <c r="K728" s="11"/>
      <c r="L728" s="15"/>
      <c r="M728" s="15"/>
      <c r="N728" s="15"/>
      <c r="O728" s="15"/>
      <c r="P728" s="15"/>
      <c r="Q728" s="11"/>
      <c r="R728" s="11"/>
      <c r="S728" s="11"/>
      <c r="T728" s="11"/>
      <c r="U728" s="15"/>
      <c r="V728" s="11"/>
      <c r="W728" s="11"/>
      <c r="X728" s="11"/>
      <c r="Y728" s="11"/>
      <c r="Z728" s="11"/>
    </row>
    <row r="729">
      <c r="A729" s="18"/>
      <c r="B729" s="11"/>
      <c r="C729" s="11"/>
      <c r="D729" s="11"/>
      <c r="E729" s="11"/>
      <c r="F729" s="11"/>
      <c r="G729" s="11"/>
      <c r="H729" s="11"/>
      <c r="I729" s="11"/>
      <c r="J729" s="11"/>
      <c r="K729" s="11"/>
      <c r="L729" s="15"/>
      <c r="M729" s="15"/>
      <c r="N729" s="15"/>
      <c r="O729" s="15"/>
      <c r="P729" s="15"/>
      <c r="Q729" s="11"/>
      <c r="R729" s="11"/>
      <c r="S729" s="11"/>
      <c r="T729" s="11"/>
      <c r="U729" s="15"/>
      <c r="V729" s="11"/>
      <c r="W729" s="11"/>
      <c r="X729" s="11"/>
      <c r="Y729" s="11"/>
      <c r="Z729" s="11"/>
    </row>
    <row r="730">
      <c r="A730" s="18"/>
      <c r="B730" s="11"/>
      <c r="C730" s="11"/>
      <c r="D730" s="11"/>
      <c r="E730" s="11"/>
      <c r="F730" s="11"/>
      <c r="G730" s="11"/>
      <c r="H730" s="11"/>
      <c r="I730" s="11"/>
      <c r="J730" s="11"/>
      <c r="K730" s="11"/>
      <c r="L730" s="15"/>
      <c r="M730" s="15"/>
      <c r="N730" s="15"/>
      <c r="O730" s="15"/>
      <c r="P730" s="15"/>
      <c r="Q730" s="11"/>
      <c r="R730" s="11"/>
      <c r="S730" s="11"/>
      <c r="T730" s="11"/>
      <c r="U730" s="15"/>
      <c r="V730" s="11"/>
      <c r="W730" s="11"/>
      <c r="X730" s="11"/>
      <c r="Y730" s="11"/>
      <c r="Z730" s="11"/>
    </row>
    <row r="731">
      <c r="A731" s="18"/>
      <c r="B731" s="11"/>
      <c r="C731" s="11"/>
      <c r="D731" s="11"/>
      <c r="E731" s="11"/>
      <c r="F731" s="11"/>
      <c r="G731" s="11"/>
      <c r="H731" s="11"/>
      <c r="I731" s="11"/>
      <c r="J731" s="11"/>
      <c r="K731" s="11"/>
      <c r="L731" s="15"/>
      <c r="M731" s="15"/>
      <c r="N731" s="15"/>
      <c r="O731" s="15"/>
      <c r="P731" s="15"/>
      <c r="Q731" s="11"/>
      <c r="R731" s="11"/>
      <c r="S731" s="11"/>
      <c r="T731" s="11"/>
      <c r="U731" s="15"/>
      <c r="V731" s="11"/>
      <c r="W731" s="11"/>
      <c r="X731" s="11"/>
      <c r="Y731" s="11"/>
      <c r="Z731" s="11"/>
    </row>
    <row r="732">
      <c r="A732" s="18"/>
      <c r="B732" s="11"/>
      <c r="C732" s="11"/>
      <c r="D732" s="11"/>
      <c r="E732" s="11"/>
      <c r="F732" s="11"/>
      <c r="G732" s="11"/>
      <c r="H732" s="11"/>
      <c r="I732" s="11"/>
      <c r="J732" s="11"/>
      <c r="K732" s="11"/>
      <c r="L732" s="15"/>
      <c r="M732" s="15"/>
      <c r="N732" s="15"/>
      <c r="O732" s="15"/>
      <c r="P732" s="15"/>
      <c r="Q732" s="11"/>
      <c r="R732" s="11"/>
      <c r="S732" s="11"/>
      <c r="T732" s="11"/>
      <c r="U732" s="15"/>
      <c r="V732" s="11"/>
      <c r="W732" s="11"/>
      <c r="X732" s="11"/>
      <c r="Y732" s="11"/>
      <c r="Z732" s="11"/>
    </row>
    <row r="733">
      <c r="A733" s="18"/>
      <c r="B733" s="11"/>
      <c r="C733" s="11"/>
      <c r="D733" s="11"/>
      <c r="E733" s="11"/>
      <c r="F733" s="11"/>
      <c r="G733" s="11"/>
      <c r="H733" s="11"/>
      <c r="I733" s="11"/>
      <c r="J733" s="11"/>
      <c r="K733" s="11"/>
      <c r="L733" s="15"/>
      <c r="M733" s="15"/>
      <c r="N733" s="15"/>
      <c r="O733" s="15"/>
      <c r="P733" s="15"/>
      <c r="Q733" s="11"/>
      <c r="R733" s="11"/>
      <c r="S733" s="11"/>
      <c r="T733" s="11"/>
      <c r="U733" s="15"/>
      <c r="V733" s="11"/>
      <c r="W733" s="11"/>
      <c r="X733" s="11"/>
      <c r="Y733" s="11"/>
      <c r="Z733" s="11"/>
    </row>
    <row r="734">
      <c r="A734" s="18"/>
      <c r="B734" s="11"/>
      <c r="C734" s="11"/>
      <c r="D734" s="11"/>
      <c r="E734" s="11"/>
      <c r="F734" s="11"/>
      <c r="G734" s="11"/>
      <c r="H734" s="11"/>
      <c r="I734" s="11"/>
      <c r="J734" s="11"/>
      <c r="K734" s="11"/>
      <c r="L734" s="15"/>
      <c r="M734" s="15"/>
      <c r="N734" s="15"/>
      <c r="O734" s="15"/>
      <c r="P734" s="15"/>
      <c r="Q734" s="11"/>
      <c r="R734" s="11"/>
      <c r="S734" s="11"/>
      <c r="T734" s="11"/>
      <c r="U734" s="15"/>
      <c r="V734" s="11"/>
      <c r="W734" s="11"/>
      <c r="X734" s="11"/>
      <c r="Y734" s="11"/>
      <c r="Z734" s="11"/>
    </row>
    <row r="735">
      <c r="A735" s="18"/>
      <c r="B735" s="11"/>
      <c r="C735" s="11"/>
      <c r="D735" s="11"/>
      <c r="E735" s="11"/>
      <c r="F735" s="11"/>
      <c r="G735" s="11"/>
      <c r="H735" s="11"/>
      <c r="I735" s="11"/>
      <c r="J735" s="11"/>
      <c r="K735" s="11"/>
      <c r="L735" s="15"/>
      <c r="M735" s="15"/>
      <c r="N735" s="15"/>
      <c r="O735" s="15"/>
      <c r="P735" s="15"/>
      <c r="Q735" s="11"/>
      <c r="R735" s="11"/>
      <c r="S735" s="11"/>
      <c r="T735" s="11"/>
      <c r="U735" s="15"/>
      <c r="V735" s="11"/>
      <c r="W735" s="11"/>
      <c r="X735" s="11"/>
      <c r="Y735" s="11"/>
      <c r="Z735" s="11"/>
    </row>
    <row r="736">
      <c r="A736" s="18"/>
      <c r="B736" s="11"/>
      <c r="C736" s="11"/>
      <c r="D736" s="11"/>
      <c r="E736" s="11"/>
      <c r="F736" s="11"/>
      <c r="G736" s="11"/>
      <c r="H736" s="11"/>
      <c r="I736" s="11"/>
      <c r="J736" s="11"/>
      <c r="K736" s="11"/>
      <c r="L736" s="15"/>
      <c r="M736" s="15"/>
      <c r="N736" s="15"/>
      <c r="O736" s="15"/>
      <c r="P736" s="15"/>
      <c r="Q736" s="11"/>
      <c r="R736" s="11"/>
      <c r="S736" s="11"/>
      <c r="T736" s="11"/>
      <c r="U736" s="15"/>
      <c r="V736" s="11"/>
      <c r="W736" s="11"/>
      <c r="X736" s="11"/>
      <c r="Y736" s="11"/>
      <c r="Z736" s="11"/>
    </row>
    <row r="737">
      <c r="A737" s="18"/>
      <c r="B737" s="11"/>
      <c r="C737" s="11"/>
      <c r="D737" s="11"/>
      <c r="E737" s="11"/>
      <c r="F737" s="11"/>
      <c r="G737" s="11"/>
      <c r="H737" s="11"/>
      <c r="I737" s="11"/>
      <c r="J737" s="11"/>
      <c r="K737" s="11"/>
      <c r="L737" s="15"/>
      <c r="M737" s="15"/>
      <c r="N737" s="15"/>
      <c r="O737" s="15"/>
      <c r="P737" s="15"/>
      <c r="Q737" s="11"/>
      <c r="R737" s="11"/>
      <c r="S737" s="11"/>
      <c r="T737" s="11"/>
      <c r="U737" s="15"/>
      <c r="V737" s="11"/>
      <c r="W737" s="11"/>
      <c r="X737" s="11"/>
      <c r="Y737" s="11"/>
      <c r="Z737" s="11"/>
    </row>
    <row r="738">
      <c r="A738" s="18"/>
      <c r="B738" s="11"/>
      <c r="C738" s="11"/>
      <c r="D738" s="11"/>
      <c r="E738" s="11"/>
      <c r="F738" s="11"/>
      <c r="G738" s="11"/>
      <c r="H738" s="11"/>
      <c r="I738" s="11"/>
      <c r="J738" s="11"/>
      <c r="K738" s="11"/>
      <c r="L738" s="15"/>
      <c r="M738" s="15"/>
      <c r="N738" s="15"/>
      <c r="O738" s="15"/>
      <c r="P738" s="15"/>
      <c r="Q738" s="11"/>
      <c r="R738" s="11"/>
      <c r="S738" s="11"/>
      <c r="T738" s="11"/>
      <c r="U738" s="15"/>
      <c r="V738" s="11"/>
      <c r="W738" s="11"/>
      <c r="X738" s="11"/>
      <c r="Y738" s="11"/>
      <c r="Z738" s="11"/>
    </row>
    <row r="739">
      <c r="A739" s="18"/>
      <c r="B739" s="11"/>
      <c r="C739" s="11"/>
      <c r="D739" s="11"/>
      <c r="E739" s="11"/>
      <c r="F739" s="11"/>
      <c r="G739" s="11"/>
      <c r="H739" s="11"/>
      <c r="I739" s="11"/>
      <c r="J739" s="11"/>
      <c r="K739" s="11"/>
      <c r="L739" s="15"/>
      <c r="M739" s="15"/>
      <c r="N739" s="15"/>
      <c r="O739" s="15"/>
      <c r="P739" s="15"/>
      <c r="Q739" s="11"/>
      <c r="R739" s="11"/>
      <c r="S739" s="11"/>
      <c r="T739" s="11"/>
      <c r="U739" s="15"/>
      <c r="V739" s="11"/>
      <c r="W739" s="11"/>
      <c r="X739" s="11"/>
      <c r="Y739" s="11"/>
      <c r="Z739" s="11"/>
    </row>
    <row r="740">
      <c r="A740" s="18"/>
      <c r="B740" s="11"/>
      <c r="C740" s="11"/>
      <c r="D740" s="11"/>
      <c r="E740" s="11"/>
      <c r="F740" s="11"/>
      <c r="G740" s="11"/>
      <c r="H740" s="11"/>
      <c r="I740" s="11"/>
      <c r="J740" s="11"/>
      <c r="K740" s="11"/>
      <c r="L740" s="15"/>
      <c r="M740" s="15"/>
      <c r="N740" s="15"/>
      <c r="O740" s="15"/>
      <c r="P740" s="15"/>
      <c r="Q740" s="11"/>
      <c r="R740" s="11"/>
      <c r="S740" s="11"/>
      <c r="T740" s="11"/>
      <c r="U740" s="15"/>
      <c r="V740" s="11"/>
      <c r="W740" s="11"/>
      <c r="X740" s="11"/>
      <c r="Y740" s="11"/>
      <c r="Z740" s="11"/>
    </row>
    <row r="741">
      <c r="A741" s="18"/>
      <c r="B741" s="11"/>
      <c r="C741" s="11"/>
      <c r="D741" s="11"/>
      <c r="E741" s="11"/>
      <c r="F741" s="11"/>
      <c r="G741" s="11"/>
      <c r="H741" s="11"/>
      <c r="I741" s="11"/>
      <c r="J741" s="11"/>
      <c r="K741" s="11"/>
      <c r="L741" s="15"/>
      <c r="M741" s="15"/>
      <c r="N741" s="15"/>
      <c r="O741" s="15"/>
      <c r="P741" s="15"/>
      <c r="Q741" s="11"/>
      <c r="R741" s="11"/>
      <c r="S741" s="11"/>
      <c r="T741" s="11"/>
      <c r="U741" s="15"/>
      <c r="V741" s="11"/>
      <c r="W741" s="11"/>
      <c r="X741" s="11"/>
      <c r="Y741" s="11"/>
      <c r="Z741" s="11"/>
    </row>
    <row r="742">
      <c r="A742" s="18"/>
      <c r="B742" s="11"/>
      <c r="C742" s="11"/>
      <c r="D742" s="11"/>
      <c r="E742" s="11"/>
      <c r="F742" s="11"/>
      <c r="G742" s="11"/>
      <c r="H742" s="11"/>
      <c r="I742" s="11"/>
      <c r="J742" s="11"/>
      <c r="K742" s="11"/>
      <c r="L742" s="15"/>
      <c r="M742" s="15"/>
      <c r="N742" s="15"/>
      <c r="O742" s="15"/>
      <c r="P742" s="15"/>
      <c r="Q742" s="11"/>
      <c r="R742" s="11"/>
      <c r="S742" s="11"/>
      <c r="T742" s="11"/>
      <c r="U742" s="15"/>
      <c r="V742" s="11"/>
      <c r="W742" s="11"/>
      <c r="X742" s="11"/>
      <c r="Y742" s="11"/>
      <c r="Z742" s="11"/>
    </row>
    <row r="743">
      <c r="A743" s="18"/>
      <c r="B743" s="11"/>
      <c r="C743" s="11"/>
      <c r="D743" s="11"/>
      <c r="E743" s="11"/>
      <c r="F743" s="11"/>
      <c r="G743" s="11"/>
      <c r="H743" s="11"/>
      <c r="I743" s="11"/>
      <c r="J743" s="11"/>
      <c r="K743" s="11"/>
      <c r="L743" s="15"/>
      <c r="M743" s="15"/>
      <c r="N743" s="15"/>
      <c r="O743" s="15"/>
      <c r="P743" s="15"/>
      <c r="Q743" s="11"/>
      <c r="R743" s="11"/>
      <c r="S743" s="11"/>
      <c r="T743" s="11"/>
      <c r="U743" s="15"/>
      <c r="V743" s="11"/>
      <c r="W743" s="11"/>
      <c r="X743" s="11"/>
      <c r="Y743" s="11"/>
      <c r="Z743" s="11"/>
    </row>
    <row r="744">
      <c r="A744" s="18"/>
      <c r="B744" s="11"/>
      <c r="C744" s="11"/>
      <c r="D744" s="11"/>
      <c r="E744" s="11"/>
      <c r="F744" s="11"/>
      <c r="G744" s="11"/>
      <c r="H744" s="11"/>
      <c r="I744" s="11"/>
      <c r="J744" s="11"/>
      <c r="K744" s="11"/>
      <c r="L744" s="15"/>
      <c r="M744" s="15"/>
      <c r="N744" s="15"/>
      <c r="O744" s="15"/>
      <c r="P744" s="15"/>
      <c r="Q744" s="11"/>
      <c r="R744" s="11"/>
      <c r="S744" s="11"/>
      <c r="T744" s="11"/>
      <c r="U744" s="15"/>
      <c r="V744" s="11"/>
      <c r="W744" s="11"/>
      <c r="X744" s="11"/>
      <c r="Y744" s="11"/>
      <c r="Z744" s="11"/>
    </row>
    <row r="745">
      <c r="A745" s="18"/>
      <c r="B745" s="11"/>
      <c r="C745" s="11"/>
      <c r="D745" s="11"/>
      <c r="E745" s="11"/>
      <c r="F745" s="11"/>
      <c r="G745" s="11"/>
      <c r="H745" s="11"/>
      <c r="I745" s="11"/>
      <c r="J745" s="11"/>
      <c r="K745" s="11"/>
      <c r="L745" s="15"/>
      <c r="M745" s="15"/>
      <c r="N745" s="15"/>
      <c r="O745" s="15"/>
      <c r="P745" s="15"/>
      <c r="Q745" s="11"/>
      <c r="R745" s="11"/>
      <c r="S745" s="11"/>
      <c r="T745" s="11"/>
      <c r="U745" s="15"/>
      <c r="V745" s="11"/>
      <c r="W745" s="11"/>
      <c r="X745" s="11"/>
      <c r="Y745" s="11"/>
      <c r="Z745" s="11"/>
    </row>
    <row r="746">
      <c r="A746" s="18"/>
      <c r="B746" s="11"/>
      <c r="C746" s="11"/>
      <c r="D746" s="11"/>
      <c r="E746" s="11"/>
      <c r="F746" s="11"/>
      <c r="G746" s="11"/>
      <c r="H746" s="11"/>
      <c r="I746" s="11"/>
      <c r="J746" s="11"/>
      <c r="K746" s="11"/>
      <c r="L746" s="15"/>
      <c r="M746" s="15"/>
      <c r="N746" s="15"/>
      <c r="O746" s="15"/>
      <c r="P746" s="15"/>
      <c r="Q746" s="11"/>
      <c r="R746" s="11"/>
      <c r="S746" s="11"/>
      <c r="T746" s="11"/>
      <c r="U746" s="15"/>
      <c r="V746" s="11"/>
      <c r="W746" s="11"/>
      <c r="X746" s="11"/>
      <c r="Y746" s="11"/>
      <c r="Z746" s="11"/>
    </row>
    <row r="747">
      <c r="A747" s="18"/>
      <c r="B747" s="11"/>
      <c r="C747" s="11"/>
      <c r="D747" s="11"/>
      <c r="E747" s="11"/>
      <c r="F747" s="11"/>
      <c r="G747" s="11"/>
      <c r="H747" s="11"/>
      <c r="I747" s="11"/>
      <c r="J747" s="11"/>
      <c r="K747" s="11"/>
      <c r="L747" s="15"/>
      <c r="M747" s="15"/>
      <c r="N747" s="15"/>
      <c r="O747" s="15"/>
      <c r="P747" s="15"/>
      <c r="Q747" s="11"/>
      <c r="R747" s="11"/>
      <c r="S747" s="11"/>
      <c r="T747" s="11"/>
      <c r="U747" s="15"/>
      <c r="V747" s="11"/>
      <c r="W747" s="11"/>
      <c r="X747" s="11"/>
      <c r="Y747" s="11"/>
      <c r="Z747" s="11"/>
    </row>
    <row r="748">
      <c r="A748" s="18"/>
      <c r="B748" s="11"/>
      <c r="C748" s="11"/>
      <c r="D748" s="11"/>
      <c r="E748" s="11"/>
      <c r="F748" s="11"/>
      <c r="G748" s="11"/>
      <c r="H748" s="11"/>
      <c r="I748" s="11"/>
      <c r="J748" s="11"/>
      <c r="K748" s="11"/>
      <c r="L748" s="15"/>
      <c r="M748" s="15"/>
      <c r="N748" s="15"/>
      <c r="O748" s="15"/>
      <c r="P748" s="15"/>
      <c r="Q748" s="11"/>
      <c r="R748" s="11"/>
      <c r="S748" s="11"/>
      <c r="T748" s="11"/>
      <c r="U748" s="15"/>
      <c r="V748" s="11"/>
      <c r="W748" s="11"/>
      <c r="X748" s="11"/>
      <c r="Y748" s="11"/>
      <c r="Z748" s="11"/>
    </row>
    <row r="749">
      <c r="A749" s="18"/>
      <c r="B749" s="11"/>
      <c r="C749" s="11"/>
      <c r="D749" s="11"/>
      <c r="E749" s="11"/>
      <c r="F749" s="11"/>
      <c r="G749" s="11"/>
      <c r="H749" s="11"/>
      <c r="I749" s="11"/>
      <c r="J749" s="11"/>
      <c r="K749" s="11"/>
      <c r="L749" s="15"/>
      <c r="M749" s="15"/>
      <c r="N749" s="15"/>
      <c r="O749" s="15"/>
      <c r="P749" s="15"/>
      <c r="Q749" s="11"/>
      <c r="R749" s="11"/>
      <c r="S749" s="11"/>
      <c r="T749" s="11"/>
      <c r="U749" s="15"/>
      <c r="V749" s="11"/>
      <c r="W749" s="11"/>
      <c r="X749" s="11"/>
      <c r="Y749" s="11"/>
      <c r="Z749" s="11"/>
    </row>
    <row r="750">
      <c r="A750" s="18"/>
      <c r="B750" s="11"/>
      <c r="C750" s="11"/>
      <c r="D750" s="11"/>
      <c r="E750" s="11"/>
      <c r="F750" s="11"/>
      <c r="G750" s="11"/>
      <c r="H750" s="11"/>
      <c r="I750" s="11"/>
      <c r="J750" s="11"/>
      <c r="K750" s="11"/>
      <c r="L750" s="15"/>
      <c r="M750" s="15"/>
      <c r="N750" s="15"/>
      <c r="O750" s="15"/>
      <c r="P750" s="15"/>
      <c r="Q750" s="11"/>
      <c r="R750" s="11"/>
      <c r="S750" s="11"/>
      <c r="T750" s="11"/>
      <c r="U750" s="15"/>
      <c r="V750" s="11"/>
      <c r="W750" s="11"/>
      <c r="X750" s="11"/>
      <c r="Y750" s="11"/>
      <c r="Z750" s="11"/>
    </row>
    <row r="751">
      <c r="A751" s="18"/>
      <c r="B751" s="11"/>
      <c r="C751" s="11"/>
      <c r="D751" s="11"/>
      <c r="E751" s="11"/>
      <c r="F751" s="11"/>
      <c r="G751" s="11"/>
      <c r="H751" s="11"/>
      <c r="I751" s="11"/>
      <c r="J751" s="11"/>
      <c r="K751" s="11"/>
      <c r="L751" s="15"/>
      <c r="M751" s="15"/>
      <c r="N751" s="15"/>
      <c r="O751" s="15"/>
      <c r="P751" s="15"/>
      <c r="Q751" s="11"/>
      <c r="R751" s="11"/>
      <c r="S751" s="11"/>
      <c r="T751" s="11"/>
      <c r="U751" s="15"/>
      <c r="V751" s="11"/>
      <c r="W751" s="11"/>
      <c r="X751" s="11"/>
      <c r="Y751" s="11"/>
      <c r="Z751" s="11"/>
    </row>
    <row r="752">
      <c r="A752" s="18"/>
      <c r="B752" s="11"/>
      <c r="C752" s="11"/>
      <c r="D752" s="11"/>
      <c r="E752" s="11"/>
      <c r="F752" s="11"/>
      <c r="G752" s="11"/>
      <c r="H752" s="11"/>
      <c r="I752" s="11"/>
      <c r="J752" s="11"/>
      <c r="K752" s="11"/>
      <c r="L752" s="15"/>
      <c r="M752" s="15"/>
      <c r="N752" s="15"/>
      <c r="O752" s="15"/>
      <c r="P752" s="15"/>
      <c r="Q752" s="11"/>
      <c r="R752" s="11"/>
      <c r="S752" s="11"/>
      <c r="T752" s="11"/>
      <c r="U752" s="15"/>
      <c r="V752" s="11"/>
      <c r="W752" s="11"/>
      <c r="X752" s="11"/>
      <c r="Y752" s="11"/>
      <c r="Z752" s="11"/>
    </row>
    <row r="753">
      <c r="A753" s="18"/>
      <c r="B753" s="11"/>
      <c r="C753" s="11"/>
      <c r="D753" s="11"/>
      <c r="E753" s="11"/>
      <c r="F753" s="11"/>
      <c r="G753" s="11"/>
      <c r="H753" s="11"/>
      <c r="I753" s="11"/>
      <c r="J753" s="11"/>
      <c r="K753" s="11"/>
      <c r="L753" s="15"/>
      <c r="M753" s="15"/>
      <c r="N753" s="15"/>
      <c r="O753" s="15"/>
      <c r="P753" s="15"/>
      <c r="Q753" s="11"/>
      <c r="R753" s="11"/>
      <c r="S753" s="11"/>
      <c r="T753" s="11"/>
      <c r="U753" s="15"/>
      <c r="V753" s="11"/>
      <c r="W753" s="11"/>
      <c r="X753" s="11"/>
      <c r="Y753" s="11"/>
      <c r="Z753" s="11"/>
    </row>
    <row r="754">
      <c r="A754" s="18"/>
      <c r="B754" s="11"/>
      <c r="C754" s="11"/>
      <c r="D754" s="11"/>
      <c r="E754" s="11"/>
      <c r="F754" s="11"/>
      <c r="G754" s="11"/>
      <c r="H754" s="11"/>
      <c r="I754" s="11"/>
      <c r="J754" s="11"/>
      <c r="K754" s="11"/>
      <c r="L754" s="15"/>
      <c r="M754" s="15"/>
      <c r="N754" s="15"/>
      <c r="O754" s="15"/>
      <c r="P754" s="15"/>
      <c r="Q754" s="11"/>
      <c r="R754" s="11"/>
      <c r="S754" s="11"/>
      <c r="T754" s="11"/>
      <c r="U754" s="15"/>
      <c r="V754" s="11"/>
      <c r="W754" s="11"/>
      <c r="X754" s="11"/>
      <c r="Y754" s="11"/>
      <c r="Z754" s="11"/>
    </row>
    <row r="755">
      <c r="A755" s="18"/>
      <c r="B755" s="11"/>
      <c r="C755" s="11"/>
      <c r="D755" s="11"/>
      <c r="E755" s="11"/>
      <c r="F755" s="11"/>
      <c r="G755" s="11"/>
      <c r="H755" s="11"/>
      <c r="I755" s="11"/>
      <c r="J755" s="11"/>
      <c r="K755" s="11"/>
      <c r="L755" s="15"/>
      <c r="M755" s="15"/>
      <c r="N755" s="15"/>
      <c r="O755" s="15"/>
      <c r="P755" s="15"/>
      <c r="Q755" s="11"/>
      <c r="R755" s="11"/>
      <c r="S755" s="11"/>
      <c r="T755" s="11"/>
      <c r="U755" s="15"/>
      <c r="V755" s="11"/>
      <c r="W755" s="11"/>
      <c r="X755" s="11"/>
      <c r="Y755" s="11"/>
      <c r="Z755" s="11"/>
    </row>
    <row r="756">
      <c r="A756" s="18"/>
      <c r="B756" s="11"/>
      <c r="C756" s="11"/>
      <c r="D756" s="11"/>
      <c r="E756" s="11"/>
      <c r="F756" s="11"/>
      <c r="G756" s="11"/>
      <c r="H756" s="11"/>
      <c r="I756" s="11"/>
      <c r="J756" s="11"/>
      <c r="K756" s="11"/>
      <c r="L756" s="15"/>
      <c r="M756" s="15"/>
      <c r="N756" s="15"/>
      <c r="O756" s="15"/>
      <c r="P756" s="15"/>
      <c r="Q756" s="11"/>
      <c r="R756" s="11"/>
      <c r="S756" s="11"/>
      <c r="T756" s="11"/>
      <c r="U756" s="15"/>
      <c r="V756" s="11"/>
      <c r="W756" s="11"/>
      <c r="X756" s="11"/>
      <c r="Y756" s="11"/>
      <c r="Z756" s="11"/>
    </row>
    <row r="757">
      <c r="A757" s="18"/>
      <c r="B757" s="11"/>
      <c r="C757" s="11"/>
      <c r="D757" s="11"/>
      <c r="E757" s="11"/>
      <c r="F757" s="11"/>
      <c r="G757" s="11"/>
      <c r="H757" s="11"/>
      <c r="I757" s="11"/>
      <c r="J757" s="11"/>
      <c r="K757" s="11"/>
      <c r="L757" s="15"/>
      <c r="M757" s="15"/>
      <c r="N757" s="15"/>
      <c r="O757" s="15"/>
      <c r="P757" s="15"/>
      <c r="Q757" s="11"/>
      <c r="R757" s="11"/>
      <c r="S757" s="11"/>
      <c r="T757" s="11"/>
      <c r="U757" s="15"/>
      <c r="V757" s="11"/>
      <c r="W757" s="11"/>
      <c r="X757" s="11"/>
      <c r="Y757" s="11"/>
      <c r="Z757" s="11"/>
    </row>
    <row r="758">
      <c r="A758" s="18"/>
      <c r="B758" s="11"/>
      <c r="C758" s="11"/>
      <c r="D758" s="11"/>
      <c r="E758" s="11"/>
      <c r="F758" s="11"/>
      <c r="G758" s="11"/>
      <c r="H758" s="11"/>
      <c r="I758" s="11"/>
      <c r="J758" s="11"/>
      <c r="K758" s="11"/>
      <c r="L758" s="15"/>
      <c r="M758" s="15"/>
      <c r="N758" s="15"/>
      <c r="O758" s="15"/>
      <c r="P758" s="15"/>
      <c r="Q758" s="11"/>
      <c r="R758" s="11"/>
      <c r="S758" s="11"/>
      <c r="T758" s="11"/>
      <c r="U758" s="15"/>
      <c r="V758" s="11"/>
      <c r="W758" s="11"/>
      <c r="X758" s="11"/>
      <c r="Y758" s="11"/>
      <c r="Z758" s="11"/>
    </row>
    <row r="759">
      <c r="A759" s="18"/>
      <c r="B759" s="11"/>
      <c r="C759" s="11"/>
      <c r="D759" s="11"/>
      <c r="E759" s="11"/>
      <c r="F759" s="11"/>
      <c r="G759" s="11"/>
      <c r="H759" s="11"/>
      <c r="I759" s="11"/>
      <c r="J759" s="11"/>
      <c r="K759" s="11"/>
      <c r="L759" s="15"/>
      <c r="M759" s="15"/>
      <c r="N759" s="15"/>
      <c r="O759" s="15"/>
      <c r="P759" s="15"/>
      <c r="Q759" s="11"/>
      <c r="R759" s="11"/>
      <c r="S759" s="11"/>
      <c r="T759" s="11"/>
      <c r="U759" s="15"/>
      <c r="V759" s="11"/>
      <c r="W759" s="11"/>
      <c r="X759" s="11"/>
      <c r="Y759" s="11"/>
      <c r="Z759" s="11"/>
    </row>
    <row r="760">
      <c r="A760" s="18"/>
      <c r="B760" s="11"/>
      <c r="C760" s="11"/>
      <c r="D760" s="11"/>
      <c r="E760" s="11"/>
      <c r="F760" s="11"/>
      <c r="G760" s="11"/>
      <c r="H760" s="11"/>
      <c r="I760" s="11"/>
      <c r="J760" s="11"/>
      <c r="K760" s="11"/>
      <c r="L760" s="15"/>
      <c r="M760" s="15"/>
      <c r="N760" s="15"/>
      <c r="O760" s="15"/>
      <c r="P760" s="15"/>
      <c r="Q760" s="11"/>
      <c r="R760" s="11"/>
      <c r="S760" s="11"/>
      <c r="T760" s="11"/>
      <c r="U760" s="15"/>
      <c r="V760" s="11"/>
      <c r="W760" s="11"/>
      <c r="X760" s="11"/>
      <c r="Y760" s="11"/>
      <c r="Z760" s="11"/>
    </row>
    <row r="761">
      <c r="A761" s="18"/>
      <c r="B761" s="11"/>
      <c r="C761" s="11"/>
      <c r="D761" s="11"/>
      <c r="E761" s="11"/>
      <c r="F761" s="11"/>
      <c r="G761" s="11"/>
      <c r="H761" s="11"/>
      <c r="I761" s="11"/>
      <c r="J761" s="11"/>
      <c r="K761" s="11"/>
      <c r="L761" s="15"/>
      <c r="M761" s="15"/>
      <c r="N761" s="15"/>
      <c r="O761" s="15"/>
      <c r="P761" s="15"/>
      <c r="Q761" s="11"/>
      <c r="R761" s="11"/>
      <c r="S761" s="11"/>
      <c r="T761" s="11"/>
      <c r="U761" s="15"/>
      <c r="V761" s="11"/>
      <c r="W761" s="11"/>
      <c r="X761" s="11"/>
      <c r="Y761" s="11"/>
      <c r="Z761" s="11"/>
    </row>
    <row r="762">
      <c r="A762" s="18"/>
      <c r="B762" s="11"/>
      <c r="C762" s="11"/>
      <c r="D762" s="11"/>
      <c r="E762" s="11"/>
      <c r="F762" s="11"/>
      <c r="G762" s="11"/>
      <c r="H762" s="11"/>
      <c r="I762" s="11"/>
      <c r="J762" s="11"/>
      <c r="K762" s="11"/>
      <c r="L762" s="15"/>
      <c r="M762" s="15"/>
      <c r="N762" s="15"/>
      <c r="O762" s="15"/>
      <c r="P762" s="15"/>
      <c r="Q762" s="11"/>
      <c r="R762" s="11"/>
      <c r="S762" s="11"/>
      <c r="T762" s="11"/>
      <c r="U762" s="15"/>
      <c r="V762" s="11"/>
      <c r="W762" s="11"/>
      <c r="X762" s="11"/>
      <c r="Y762" s="11"/>
      <c r="Z762" s="11"/>
    </row>
    <row r="763">
      <c r="A763" s="18"/>
      <c r="B763" s="11"/>
      <c r="C763" s="11"/>
      <c r="D763" s="11"/>
      <c r="E763" s="11"/>
      <c r="F763" s="11"/>
      <c r="G763" s="11"/>
      <c r="H763" s="11"/>
      <c r="I763" s="11"/>
      <c r="J763" s="11"/>
      <c r="K763" s="11"/>
      <c r="L763" s="15"/>
      <c r="M763" s="15"/>
      <c r="N763" s="15"/>
      <c r="O763" s="15"/>
      <c r="P763" s="15"/>
      <c r="Q763" s="11"/>
      <c r="R763" s="11"/>
      <c r="S763" s="11"/>
      <c r="T763" s="11"/>
      <c r="U763" s="15"/>
      <c r="V763" s="11"/>
      <c r="W763" s="11"/>
      <c r="X763" s="11"/>
      <c r="Y763" s="11"/>
      <c r="Z763" s="11"/>
    </row>
    <row r="764">
      <c r="A764" s="18"/>
      <c r="B764" s="11"/>
      <c r="C764" s="11"/>
      <c r="D764" s="11"/>
      <c r="E764" s="11"/>
      <c r="F764" s="11"/>
      <c r="G764" s="11"/>
      <c r="H764" s="11"/>
      <c r="I764" s="11"/>
      <c r="J764" s="11"/>
      <c r="K764" s="11"/>
      <c r="L764" s="15"/>
      <c r="M764" s="15"/>
      <c r="N764" s="15"/>
      <c r="O764" s="15"/>
      <c r="P764" s="15"/>
      <c r="Q764" s="11"/>
      <c r="R764" s="11"/>
      <c r="S764" s="11"/>
      <c r="T764" s="11"/>
      <c r="U764" s="15"/>
      <c r="V764" s="11"/>
      <c r="W764" s="11"/>
      <c r="X764" s="11"/>
      <c r="Y764" s="11"/>
      <c r="Z764" s="11"/>
    </row>
    <row r="765">
      <c r="A765" s="18"/>
      <c r="B765" s="11"/>
      <c r="C765" s="11"/>
      <c r="D765" s="11"/>
      <c r="E765" s="11"/>
      <c r="F765" s="11"/>
      <c r="G765" s="11"/>
      <c r="H765" s="11"/>
      <c r="I765" s="11"/>
      <c r="J765" s="11"/>
      <c r="K765" s="11"/>
      <c r="L765" s="15"/>
      <c r="M765" s="15"/>
      <c r="N765" s="15"/>
      <c r="O765" s="15"/>
      <c r="P765" s="15"/>
      <c r="Q765" s="11"/>
      <c r="R765" s="11"/>
      <c r="S765" s="11"/>
      <c r="T765" s="11"/>
      <c r="U765" s="15"/>
      <c r="V765" s="11"/>
      <c r="W765" s="11"/>
      <c r="X765" s="11"/>
      <c r="Y765" s="11"/>
      <c r="Z765" s="11"/>
    </row>
    <row r="766">
      <c r="A766" s="18"/>
      <c r="B766" s="11"/>
      <c r="C766" s="11"/>
      <c r="D766" s="11"/>
      <c r="E766" s="11"/>
      <c r="F766" s="11"/>
      <c r="G766" s="11"/>
      <c r="H766" s="11"/>
      <c r="I766" s="11"/>
      <c r="J766" s="11"/>
      <c r="K766" s="11"/>
      <c r="L766" s="15"/>
      <c r="M766" s="15"/>
      <c r="N766" s="15"/>
      <c r="O766" s="15"/>
      <c r="P766" s="15"/>
      <c r="Q766" s="11"/>
      <c r="R766" s="11"/>
      <c r="S766" s="11"/>
      <c r="T766" s="11"/>
      <c r="U766" s="15"/>
      <c r="V766" s="11"/>
      <c r="W766" s="11"/>
      <c r="X766" s="11"/>
      <c r="Y766" s="11"/>
      <c r="Z766" s="11"/>
    </row>
    <row r="767">
      <c r="A767" s="18"/>
      <c r="B767" s="11"/>
      <c r="C767" s="11"/>
      <c r="D767" s="11"/>
      <c r="E767" s="11"/>
      <c r="F767" s="11"/>
      <c r="G767" s="11"/>
      <c r="H767" s="11"/>
      <c r="I767" s="11"/>
      <c r="J767" s="11"/>
      <c r="K767" s="11"/>
      <c r="L767" s="15"/>
      <c r="M767" s="15"/>
      <c r="N767" s="15"/>
      <c r="O767" s="15"/>
      <c r="P767" s="15"/>
      <c r="Q767" s="11"/>
      <c r="R767" s="11"/>
      <c r="S767" s="11"/>
      <c r="T767" s="11"/>
      <c r="U767" s="15"/>
      <c r="V767" s="11"/>
      <c r="W767" s="11"/>
      <c r="X767" s="11"/>
      <c r="Y767" s="11"/>
      <c r="Z767" s="11"/>
    </row>
    <row r="768">
      <c r="A768" s="18"/>
      <c r="B768" s="11"/>
      <c r="C768" s="11"/>
      <c r="D768" s="11"/>
      <c r="E768" s="11"/>
      <c r="F768" s="11"/>
      <c r="G768" s="11"/>
      <c r="H768" s="11"/>
      <c r="I768" s="11"/>
      <c r="J768" s="11"/>
      <c r="K768" s="11"/>
      <c r="L768" s="15"/>
      <c r="M768" s="15"/>
      <c r="N768" s="15"/>
      <c r="O768" s="15"/>
      <c r="P768" s="15"/>
      <c r="Q768" s="11"/>
      <c r="R768" s="11"/>
      <c r="S768" s="11"/>
      <c r="T768" s="11"/>
      <c r="U768" s="15"/>
      <c r="V768" s="11"/>
      <c r="W768" s="11"/>
      <c r="X768" s="11"/>
      <c r="Y768" s="11"/>
      <c r="Z768" s="11"/>
    </row>
    <row r="769">
      <c r="A769" s="18"/>
      <c r="B769" s="11"/>
      <c r="C769" s="11"/>
      <c r="D769" s="11"/>
      <c r="E769" s="11"/>
      <c r="F769" s="11"/>
      <c r="G769" s="11"/>
      <c r="H769" s="11"/>
      <c r="I769" s="11"/>
      <c r="J769" s="11"/>
      <c r="K769" s="11"/>
      <c r="L769" s="15"/>
      <c r="M769" s="15"/>
      <c r="N769" s="15"/>
      <c r="O769" s="15"/>
      <c r="P769" s="15"/>
      <c r="Q769" s="11"/>
      <c r="R769" s="11"/>
      <c r="S769" s="11"/>
      <c r="T769" s="11"/>
      <c r="U769" s="15"/>
      <c r="V769" s="11"/>
      <c r="W769" s="11"/>
      <c r="X769" s="11"/>
      <c r="Y769" s="11"/>
      <c r="Z769" s="11"/>
    </row>
    <row r="770">
      <c r="A770" s="18"/>
      <c r="B770" s="11"/>
      <c r="C770" s="11"/>
      <c r="D770" s="11"/>
      <c r="E770" s="11"/>
      <c r="F770" s="11"/>
      <c r="G770" s="11"/>
      <c r="H770" s="11"/>
      <c r="I770" s="11"/>
      <c r="J770" s="11"/>
      <c r="K770" s="11"/>
      <c r="L770" s="15"/>
      <c r="M770" s="15"/>
      <c r="N770" s="15"/>
      <c r="O770" s="15"/>
      <c r="P770" s="15"/>
      <c r="Q770" s="11"/>
      <c r="R770" s="11"/>
      <c r="S770" s="11"/>
      <c r="T770" s="11"/>
      <c r="U770" s="15"/>
      <c r="V770" s="11"/>
      <c r="W770" s="11"/>
      <c r="X770" s="11"/>
      <c r="Y770" s="11"/>
      <c r="Z770" s="11"/>
    </row>
    <row r="771">
      <c r="A771" s="18"/>
      <c r="B771" s="11"/>
      <c r="C771" s="11"/>
      <c r="D771" s="11"/>
      <c r="E771" s="11"/>
      <c r="F771" s="11"/>
      <c r="G771" s="11"/>
      <c r="H771" s="11"/>
      <c r="I771" s="11"/>
      <c r="J771" s="11"/>
      <c r="K771" s="11"/>
      <c r="L771" s="15"/>
      <c r="M771" s="15"/>
      <c r="N771" s="15"/>
      <c r="O771" s="15"/>
      <c r="P771" s="15"/>
      <c r="Q771" s="11"/>
      <c r="R771" s="11"/>
      <c r="S771" s="11"/>
      <c r="T771" s="11"/>
      <c r="U771" s="15"/>
      <c r="V771" s="11"/>
      <c r="W771" s="11"/>
      <c r="X771" s="11"/>
      <c r="Y771" s="11"/>
      <c r="Z771" s="11"/>
    </row>
    <row r="772">
      <c r="A772" s="18"/>
      <c r="B772" s="11"/>
      <c r="C772" s="11"/>
      <c r="D772" s="11"/>
      <c r="E772" s="11"/>
      <c r="F772" s="11"/>
      <c r="G772" s="11"/>
      <c r="H772" s="11"/>
      <c r="I772" s="11"/>
      <c r="J772" s="11"/>
      <c r="K772" s="11"/>
      <c r="L772" s="15"/>
      <c r="M772" s="15"/>
      <c r="N772" s="15"/>
      <c r="O772" s="15"/>
      <c r="P772" s="15"/>
      <c r="Q772" s="11"/>
      <c r="R772" s="11"/>
      <c r="S772" s="11"/>
      <c r="T772" s="11"/>
      <c r="U772" s="15"/>
      <c r="V772" s="11"/>
      <c r="W772" s="11"/>
      <c r="X772" s="11"/>
      <c r="Y772" s="11"/>
      <c r="Z772" s="11"/>
    </row>
    <row r="773">
      <c r="A773" s="18"/>
      <c r="B773" s="11"/>
      <c r="C773" s="11"/>
      <c r="D773" s="11"/>
      <c r="E773" s="11"/>
      <c r="F773" s="11"/>
      <c r="G773" s="11"/>
      <c r="H773" s="11"/>
      <c r="I773" s="11"/>
      <c r="J773" s="11"/>
      <c r="K773" s="11"/>
      <c r="L773" s="15"/>
      <c r="M773" s="15"/>
      <c r="N773" s="15"/>
      <c r="O773" s="15"/>
      <c r="P773" s="15"/>
      <c r="Q773" s="11"/>
      <c r="R773" s="11"/>
      <c r="S773" s="11"/>
      <c r="T773" s="11"/>
      <c r="U773" s="15"/>
      <c r="V773" s="11"/>
      <c r="W773" s="11"/>
      <c r="X773" s="11"/>
      <c r="Y773" s="11"/>
      <c r="Z773" s="11"/>
    </row>
    <row r="774">
      <c r="A774" s="18"/>
      <c r="B774" s="11"/>
      <c r="C774" s="11"/>
      <c r="D774" s="11"/>
      <c r="E774" s="11"/>
      <c r="F774" s="11"/>
      <c r="G774" s="11"/>
      <c r="H774" s="11"/>
      <c r="I774" s="11"/>
      <c r="J774" s="11"/>
      <c r="K774" s="11"/>
      <c r="L774" s="15"/>
      <c r="M774" s="15"/>
      <c r="N774" s="15"/>
      <c r="O774" s="15"/>
      <c r="P774" s="15"/>
      <c r="Q774" s="11"/>
      <c r="R774" s="11"/>
      <c r="S774" s="11"/>
      <c r="T774" s="11"/>
      <c r="U774" s="15"/>
      <c r="V774" s="11"/>
      <c r="W774" s="11"/>
      <c r="X774" s="11"/>
      <c r="Y774" s="11"/>
      <c r="Z774" s="11"/>
    </row>
    <row r="775">
      <c r="A775" s="18"/>
      <c r="B775" s="11"/>
      <c r="C775" s="11"/>
      <c r="D775" s="11"/>
      <c r="E775" s="11"/>
      <c r="F775" s="11"/>
      <c r="G775" s="11"/>
      <c r="H775" s="11"/>
      <c r="I775" s="11"/>
      <c r="J775" s="11"/>
      <c r="K775" s="11"/>
      <c r="L775" s="15"/>
      <c r="M775" s="15"/>
      <c r="N775" s="15"/>
      <c r="O775" s="15"/>
      <c r="P775" s="15"/>
      <c r="Q775" s="11"/>
      <c r="R775" s="11"/>
      <c r="S775" s="11"/>
      <c r="T775" s="11"/>
      <c r="U775" s="15"/>
      <c r="V775" s="11"/>
      <c r="W775" s="11"/>
      <c r="X775" s="11"/>
      <c r="Y775" s="11"/>
      <c r="Z775" s="11"/>
    </row>
    <row r="776">
      <c r="A776" s="18"/>
      <c r="B776" s="11"/>
      <c r="C776" s="11"/>
      <c r="D776" s="11"/>
      <c r="E776" s="11"/>
      <c r="F776" s="11"/>
      <c r="G776" s="11"/>
      <c r="H776" s="11"/>
      <c r="I776" s="11"/>
      <c r="J776" s="11"/>
      <c r="K776" s="11"/>
      <c r="L776" s="15"/>
      <c r="M776" s="15"/>
      <c r="N776" s="15"/>
      <c r="O776" s="15"/>
      <c r="P776" s="15"/>
      <c r="Q776" s="11"/>
      <c r="R776" s="11"/>
      <c r="S776" s="11"/>
      <c r="T776" s="11"/>
      <c r="U776" s="15"/>
      <c r="V776" s="11"/>
      <c r="W776" s="11"/>
      <c r="X776" s="11"/>
      <c r="Y776" s="11"/>
      <c r="Z776" s="11"/>
    </row>
    <row r="777">
      <c r="A777" s="18"/>
      <c r="B777" s="11"/>
      <c r="C777" s="11"/>
      <c r="D777" s="11"/>
      <c r="E777" s="11"/>
      <c r="F777" s="11"/>
      <c r="G777" s="11"/>
      <c r="H777" s="11"/>
      <c r="I777" s="11"/>
      <c r="J777" s="11"/>
      <c r="K777" s="11"/>
      <c r="L777" s="15"/>
      <c r="M777" s="15"/>
      <c r="N777" s="15"/>
      <c r="O777" s="15"/>
      <c r="P777" s="15"/>
      <c r="Q777" s="11"/>
      <c r="R777" s="11"/>
      <c r="S777" s="11"/>
      <c r="T777" s="11"/>
      <c r="U777" s="15"/>
      <c r="V777" s="11"/>
      <c r="W777" s="11"/>
      <c r="X777" s="11"/>
      <c r="Y777" s="11"/>
      <c r="Z777" s="11"/>
    </row>
    <row r="778">
      <c r="A778" s="18"/>
      <c r="B778" s="11"/>
      <c r="C778" s="11"/>
      <c r="D778" s="11"/>
      <c r="E778" s="11"/>
      <c r="F778" s="11"/>
      <c r="G778" s="11"/>
      <c r="H778" s="11"/>
      <c r="I778" s="11"/>
      <c r="J778" s="11"/>
      <c r="K778" s="11"/>
      <c r="L778" s="15"/>
      <c r="M778" s="15"/>
      <c r="N778" s="15"/>
      <c r="O778" s="15"/>
      <c r="P778" s="15"/>
      <c r="Q778" s="11"/>
      <c r="R778" s="11"/>
      <c r="S778" s="11"/>
      <c r="T778" s="11"/>
      <c r="U778" s="15"/>
      <c r="V778" s="11"/>
      <c r="W778" s="11"/>
      <c r="X778" s="11"/>
      <c r="Y778" s="11"/>
      <c r="Z778" s="11"/>
    </row>
    <row r="779">
      <c r="A779" s="18"/>
      <c r="B779" s="11"/>
      <c r="C779" s="11"/>
      <c r="D779" s="11"/>
      <c r="E779" s="11"/>
      <c r="F779" s="11"/>
      <c r="G779" s="11"/>
      <c r="H779" s="11"/>
      <c r="I779" s="11"/>
      <c r="J779" s="11"/>
      <c r="K779" s="11"/>
      <c r="L779" s="15"/>
      <c r="M779" s="15"/>
      <c r="N779" s="15"/>
      <c r="O779" s="15"/>
      <c r="P779" s="15"/>
      <c r="Q779" s="11"/>
      <c r="R779" s="11"/>
      <c r="S779" s="11"/>
      <c r="T779" s="11"/>
      <c r="U779" s="15"/>
      <c r="V779" s="11"/>
      <c r="W779" s="11"/>
      <c r="X779" s="11"/>
      <c r="Y779" s="11"/>
      <c r="Z779" s="11"/>
    </row>
    <row r="780">
      <c r="A780" s="18"/>
      <c r="B780" s="11"/>
      <c r="C780" s="11"/>
      <c r="D780" s="11"/>
      <c r="E780" s="11"/>
      <c r="F780" s="11"/>
      <c r="G780" s="11"/>
      <c r="H780" s="11"/>
      <c r="I780" s="11"/>
      <c r="J780" s="11"/>
      <c r="K780" s="11"/>
      <c r="L780" s="15"/>
      <c r="M780" s="15"/>
      <c r="N780" s="15"/>
      <c r="O780" s="15"/>
      <c r="P780" s="15"/>
      <c r="Q780" s="11"/>
      <c r="R780" s="11"/>
      <c r="S780" s="11"/>
      <c r="T780" s="11"/>
      <c r="U780" s="15"/>
      <c r="V780" s="11"/>
      <c r="W780" s="11"/>
      <c r="X780" s="11"/>
      <c r="Y780" s="11"/>
      <c r="Z780" s="11"/>
    </row>
    <row r="781">
      <c r="A781" s="18"/>
      <c r="B781" s="11"/>
      <c r="C781" s="11"/>
      <c r="D781" s="11"/>
      <c r="E781" s="11"/>
      <c r="F781" s="11"/>
      <c r="G781" s="11"/>
      <c r="H781" s="11"/>
      <c r="I781" s="11"/>
      <c r="J781" s="11"/>
      <c r="K781" s="11"/>
      <c r="L781" s="15"/>
      <c r="M781" s="15"/>
      <c r="N781" s="15"/>
      <c r="O781" s="15"/>
      <c r="P781" s="15"/>
      <c r="Q781" s="11"/>
      <c r="R781" s="11"/>
      <c r="S781" s="11"/>
      <c r="T781" s="11"/>
      <c r="U781" s="15"/>
      <c r="V781" s="11"/>
      <c r="W781" s="11"/>
      <c r="X781" s="11"/>
      <c r="Y781" s="11"/>
      <c r="Z781" s="11"/>
    </row>
    <row r="782">
      <c r="A782" s="18"/>
      <c r="B782" s="11"/>
      <c r="C782" s="11"/>
      <c r="D782" s="11"/>
      <c r="E782" s="11"/>
      <c r="F782" s="11"/>
      <c r="G782" s="11"/>
      <c r="H782" s="11"/>
      <c r="I782" s="11"/>
      <c r="J782" s="11"/>
      <c r="K782" s="11"/>
      <c r="L782" s="15"/>
      <c r="M782" s="15"/>
      <c r="N782" s="15"/>
      <c r="O782" s="15"/>
      <c r="P782" s="15"/>
      <c r="Q782" s="11"/>
      <c r="R782" s="11"/>
      <c r="S782" s="11"/>
      <c r="T782" s="11"/>
      <c r="U782" s="15"/>
      <c r="V782" s="11"/>
      <c r="W782" s="11"/>
      <c r="X782" s="11"/>
      <c r="Y782" s="11"/>
      <c r="Z782" s="11"/>
    </row>
    <row r="783">
      <c r="A783" s="18"/>
      <c r="B783" s="11"/>
      <c r="C783" s="11"/>
      <c r="D783" s="11"/>
      <c r="E783" s="11"/>
      <c r="F783" s="11"/>
      <c r="G783" s="11"/>
      <c r="H783" s="11"/>
      <c r="I783" s="11"/>
      <c r="J783" s="11"/>
      <c r="K783" s="11"/>
      <c r="L783" s="15"/>
      <c r="M783" s="15"/>
      <c r="N783" s="15"/>
      <c r="O783" s="15"/>
      <c r="P783" s="15"/>
      <c r="Q783" s="11"/>
      <c r="R783" s="11"/>
      <c r="S783" s="11"/>
      <c r="T783" s="11"/>
      <c r="U783" s="15"/>
      <c r="V783" s="11"/>
      <c r="W783" s="11"/>
      <c r="X783" s="11"/>
      <c r="Y783" s="11"/>
      <c r="Z783" s="11"/>
    </row>
    <row r="784">
      <c r="A784" s="18"/>
      <c r="B784" s="11"/>
      <c r="C784" s="11"/>
      <c r="D784" s="11"/>
      <c r="E784" s="11"/>
      <c r="F784" s="11"/>
      <c r="G784" s="11"/>
      <c r="H784" s="11"/>
      <c r="I784" s="11"/>
      <c r="J784" s="11"/>
      <c r="K784" s="11"/>
      <c r="L784" s="15"/>
      <c r="M784" s="15"/>
      <c r="N784" s="15"/>
      <c r="O784" s="15"/>
      <c r="P784" s="15"/>
      <c r="Q784" s="11"/>
      <c r="R784" s="11"/>
      <c r="S784" s="11"/>
      <c r="T784" s="11"/>
      <c r="U784" s="15"/>
      <c r="V784" s="11"/>
      <c r="W784" s="11"/>
      <c r="X784" s="11"/>
      <c r="Y784" s="11"/>
      <c r="Z784" s="11"/>
    </row>
    <row r="785">
      <c r="A785" s="18"/>
      <c r="B785" s="11"/>
      <c r="C785" s="11"/>
      <c r="D785" s="11"/>
      <c r="E785" s="11"/>
      <c r="F785" s="11"/>
      <c r="G785" s="11"/>
      <c r="H785" s="11"/>
      <c r="I785" s="11"/>
      <c r="J785" s="11"/>
      <c r="K785" s="11"/>
      <c r="L785" s="15"/>
      <c r="M785" s="15"/>
      <c r="N785" s="15"/>
      <c r="O785" s="15"/>
      <c r="P785" s="15"/>
      <c r="Q785" s="11"/>
      <c r="R785" s="11"/>
      <c r="S785" s="11"/>
      <c r="T785" s="11"/>
      <c r="U785" s="15"/>
      <c r="V785" s="11"/>
      <c r="W785" s="11"/>
      <c r="X785" s="11"/>
      <c r="Y785" s="11"/>
      <c r="Z785" s="11"/>
    </row>
    <row r="786">
      <c r="A786" s="18"/>
      <c r="B786" s="11"/>
      <c r="C786" s="11"/>
      <c r="D786" s="11"/>
      <c r="E786" s="11"/>
      <c r="F786" s="11"/>
      <c r="G786" s="11"/>
      <c r="H786" s="11"/>
      <c r="I786" s="11"/>
      <c r="J786" s="11"/>
      <c r="K786" s="11"/>
      <c r="L786" s="15"/>
      <c r="M786" s="15"/>
      <c r="N786" s="15"/>
      <c r="O786" s="15"/>
      <c r="P786" s="15"/>
      <c r="Q786" s="11"/>
      <c r="R786" s="11"/>
      <c r="S786" s="11"/>
      <c r="T786" s="11"/>
      <c r="U786" s="15"/>
      <c r="V786" s="11"/>
      <c r="W786" s="11"/>
      <c r="X786" s="11"/>
      <c r="Y786" s="11"/>
      <c r="Z786" s="11"/>
    </row>
    <row r="787">
      <c r="A787" s="18"/>
      <c r="B787" s="11"/>
      <c r="C787" s="11"/>
      <c r="D787" s="11"/>
      <c r="E787" s="11"/>
      <c r="F787" s="11"/>
      <c r="G787" s="11"/>
      <c r="H787" s="11"/>
      <c r="I787" s="11"/>
      <c r="J787" s="11"/>
      <c r="K787" s="11"/>
      <c r="L787" s="15"/>
      <c r="M787" s="15"/>
      <c r="N787" s="15"/>
      <c r="O787" s="15"/>
      <c r="P787" s="15"/>
      <c r="Q787" s="11"/>
      <c r="R787" s="11"/>
      <c r="S787" s="11"/>
      <c r="T787" s="11"/>
      <c r="U787" s="15"/>
      <c r="V787" s="11"/>
      <c r="W787" s="11"/>
      <c r="X787" s="11"/>
      <c r="Y787" s="11"/>
      <c r="Z787" s="11"/>
    </row>
    <row r="788">
      <c r="A788" s="18"/>
      <c r="B788" s="11"/>
      <c r="C788" s="11"/>
      <c r="D788" s="11"/>
      <c r="E788" s="11"/>
      <c r="F788" s="11"/>
      <c r="G788" s="11"/>
      <c r="H788" s="11"/>
      <c r="I788" s="11"/>
      <c r="J788" s="11"/>
      <c r="K788" s="11"/>
      <c r="L788" s="15"/>
      <c r="M788" s="15"/>
      <c r="N788" s="15"/>
      <c r="O788" s="15"/>
      <c r="P788" s="15"/>
      <c r="Q788" s="11"/>
      <c r="R788" s="11"/>
      <c r="S788" s="11"/>
      <c r="T788" s="11"/>
      <c r="U788" s="15"/>
      <c r="V788" s="11"/>
      <c r="W788" s="11"/>
      <c r="X788" s="11"/>
      <c r="Y788" s="11"/>
      <c r="Z788" s="11"/>
    </row>
    <row r="789">
      <c r="A789" s="18"/>
      <c r="B789" s="11"/>
      <c r="C789" s="11"/>
      <c r="D789" s="11"/>
      <c r="E789" s="11"/>
      <c r="F789" s="11"/>
      <c r="G789" s="11"/>
      <c r="H789" s="11"/>
      <c r="I789" s="11"/>
      <c r="J789" s="11"/>
      <c r="K789" s="11"/>
      <c r="L789" s="15"/>
      <c r="M789" s="15"/>
      <c r="N789" s="15"/>
      <c r="O789" s="15"/>
      <c r="P789" s="15"/>
      <c r="Q789" s="11"/>
      <c r="R789" s="11"/>
      <c r="S789" s="11"/>
      <c r="T789" s="11"/>
      <c r="U789" s="15"/>
      <c r="V789" s="11"/>
      <c r="W789" s="11"/>
      <c r="X789" s="11"/>
      <c r="Y789" s="11"/>
      <c r="Z789" s="11"/>
    </row>
    <row r="790">
      <c r="A790" s="18"/>
      <c r="B790" s="11"/>
      <c r="C790" s="11"/>
      <c r="D790" s="11"/>
      <c r="E790" s="11"/>
      <c r="F790" s="11"/>
      <c r="G790" s="11"/>
      <c r="H790" s="11"/>
      <c r="I790" s="11"/>
      <c r="J790" s="11"/>
      <c r="K790" s="11"/>
      <c r="L790" s="15"/>
      <c r="M790" s="15"/>
      <c r="N790" s="15"/>
      <c r="O790" s="15"/>
      <c r="P790" s="15"/>
      <c r="Q790" s="11"/>
      <c r="R790" s="11"/>
      <c r="S790" s="11"/>
      <c r="T790" s="11"/>
      <c r="U790" s="15"/>
      <c r="V790" s="11"/>
      <c r="W790" s="11"/>
      <c r="X790" s="11"/>
      <c r="Y790" s="11"/>
      <c r="Z790" s="11"/>
    </row>
    <row r="791">
      <c r="A791" s="18"/>
      <c r="B791" s="11"/>
      <c r="C791" s="11"/>
      <c r="D791" s="11"/>
      <c r="E791" s="11"/>
      <c r="F791" s="11"/>
      <c r="G791" s="11"/>
      <c r="H791" s="11"/>
      <c r="I791" s="11"/>
      <c r="J791" s="11"/>
      <c r="K791" s="11"/>
      <c r="L791" s="15"/>
      <c r="M791" s="15"/>
      <c r="N791" s="15"/>
      <c r="O791" s="15"/>
      <c r="P791" s="15"/>
      <c r="Q791" s="11"/>
      <c r="R791" s="11"/>
      <c r="S791" s="11"/>
      <c r="T791" s="11"/>
      <c r="U791" s="15"/>
      <c r="V791" s="11"/>
      <c r="W791" s="11"/>
      <c r="X791" s="11"/>
      <c r="Y791" s="11"/>
      <c r="Z791" s="11"/>
    </row>
    <row r="792">
      <c r="A792" s="18"/>
      <c r="B792" s="11"/>
      <c r="C792" s="11"/>
      <c r="D792" s="11"/>
      <c r="E792" s="11"/>
      <c r="F792" s="11"/>
      <c r="G792" s="11"/>
      <c r="H792" s="11"/>
      <c r="I792" s="11"/>
      <c r="J792" s="11"/>
      <c r="K792" s="11"/>
      <c r="L792" s="15"/>
      <c r="M792" s="15"/>
      <c r="N792" s="15"/>
      <c r="O792" s="15"/>
      <c r="P792" s="15"/>
      <c r="Q792" s="11"/>
      <c r="R792" s="11"/>
      <c r="S792" s="11"/>
      <c r="T792" s="11"/>
      <c r="U792" s="15"/>
      <c r="V792" s="11"/>
      <c r="W792" s="11"/>
      <c r="X792" s="11"/>
      <c r="Y792" s="11"/>
      <c r="Z792" s="11"/>
    </row>
    <row r="793">
      <c r="A793" s="18"/>
      <c r="B793" s="11"/>
      <c r="C793" s="11"/>
      <c r="D793" s="11"/>
      <c r="E793" s="11"/>
      <c r="F793" s="11"/>
      <c r="G793" s="11"/>
      <c r="H793" s="11"/>
      <c r="I793" s="11"/>
      <c r="J793" s="11"/>
      <c r="K793" s="11"/>
      <c r="L793" s="15"/>
      <c r="M793" s="15"/>
      <c r="N793" s="15"/>
      <c r="O793" s="15"/>
      <c r="P793" s="15"/>
      <c r="Q793" s="11"/>
      <c r="R793" s="11"/>
      <c r="S793" s="11"/>
      <c r="T793" s="11"/>
      <c r="U793" s="15"/>
      <c r="V793" s="11"/>
      <c r="W793" s="11"/>
      <c r="X793" s="11"/>
      <c r="Y793" s="11"/>
      <c r="Z793" s="11"/>
    </row>
    <row r="794">
      <c r="A794" s="18"/>
      <c r="B794" s="11"/>
      <c r="C794" s="11"/>
      <c r="D794" s="11"/>
      <c r="E794" s="11"/>
      <c r="F794" s="11"/>
      <c r="G794" s="11"/>
      <c r="H794" s="11"/>
      <c r="I794" s="11"/>
      <c r="J794" s="11"/>
      <c r="K794" s="11"/>
      <c r="L794" s="15"/>
      <c r="M794" s="15"/>
      <c r="N794" s="15"/>
      <c r="O794" s="15"/>
      <c r="P794" s="15"/>
      <c r="Q794" s="11"/>
      <c r="R794" s="11"/>
      <c r="S794" s="11"/>
      <c r="T794" s="11"/>
      <c r="U794" s="15"/>
      <c r="V794" s="11"/>
      <c r="W794" s="11"/>
      <c r="X794" s="11"/>
      <c r="Y794" s="11"/>
      <c r="Z794" s="11"/>
    </row>
    <row r="795">
      <c r="A795" s="18"/>
      <c r="B795" s="11"/>
      <c r="C795" s="11"/>
      <c r="D795" s="11"/>
      <c r="E795" s="11"/>
      <c r="F795" s="11"/>
      <c r="G795" s="11"/>
      <c r="H795" s="11"/>
      <c r="I795" s="11"/>
      <c r="J795" s="11"/>
      <c r="K795" s="11"/>
      <c r="L795" s="15"/>
      <c r="M795" s="15"/>
      <c r="N795" s="15"/>
      <c r="O795" s="15"/>
      <c r="P795" s="15"/>
      <c r="Q795" s="11"/>
      <c r="R795" s="11"/>
      <c r="S795" s="11"/>
      <c r="T795" s="11"/>
      <c r="U795" s="15"/>
      <c r="V795" s="11"/>
      <c r="W795" s="11"/>
      <c r="X795" s="11"/>
      <c r="Y795" s="11"/>
      <c r="Z795" s="11"/>
    </row>
    <row r="796">
      <c r="A796" s="18"/>
      <c r="B796" s="11"/>
      <c r="C796" s="11"/>
      <c r="D796" s="11"/>
      <c r="E796" s="11"/>
      <c r="F796" s="11"/>
      <c r="G796" s="11"/>
      <c r="H796" s="11"/>
      <c r="I796" s="11"/>
      <c r="J796" s="11"/>
      <c r="K796" s="11"/>
      <c r="L796" s="15"/>
      <c r="M796" s="15"/>
      <c r="N796" s="15"/>
      <c r="O796" s="15"/>
      <c r="P796" s="15"/>
      <c r="Q796" s="11"/>
      <c r="R796" s="11"/>
      <c r="S796" s="11"/>
      <c r="T796" s="11"/>
      <c r="U796" s="15"/>
      <c r="V796" s="11"/>
      <c r="W796" s="11"/>
      <c r="X796" s="11"/>
      <c r="Y796" s="11"/>
      <c r="Z796" s="11"/>
    </row>
    <row r="797">
      <c r="A797" s="18"/>
      <c r="B797" s="11"/>
      <c r="C797" s="11"/>
      <c r="D797" s="11"/>
      <c r="E797" s="11"/>
      <c r="F797" s="11"/>
      <c r="G797" s="11"/>
      <c r="H797" s="11"/>
      <c r="I797" s="11"/>
      <c r="J797" s="11"/>
      <c r="K797" s="11"/>
      <c r="L797" s="15"/>
      <c r="M797" s="15"/>
      <c r="N797" s="15"/>
      <c r="O797" s="15"/>
      <c r="P797" s="15"/>
      <c r="Q797" s="11"/>
      <c r="R797" s="11"/>
      <c r="S797" s="11"/>
      <c r="T797" s="11"/>
      <c r="U797" s="15"/>
      <c r="V797" s="11"/>
      <c r="W797" s="11"/>
      <c r="X797" s="11"/>
      <c r="Y797" s="11"/>
      <c r="Z797" s="11"/>
    </row>
    <row r="798">
      <c r="A798" s="18"/>
      <c r="B798" s="11"/>
      <c r="C798" s="11"/>
      <c r="D798" s="11"/>
      <c r="E798" s="11"/>
      <c r="F798" s="11"/>
      <c r="G798" s="11"/>
      <c r="H798" s="11"/>
      <c r="I798" s="11"/>
      <c r="J798" s="11"/>
      <c r="K798" s="11"/>
      <c r="L798" s="15"/>
      <c r="M798" s="15"/>
      <c r="N798" s="15"/>
      <c r="O798" s="15"/>
      <c r="P798" s="15"/>
      <c r="Q798" s="11"/>
      <c r="R798" s="11"/>
      <c r="S798" s="11"/>
      <c r="T798" s="11"/>
      <c r="U798" s="15"/>
      <c r="V798" s="11"/>
      <c r="W798" s="11"/>
      <c r="X798" s="11"/>
      <c r="Y798" s="11"/>
      <c r="Z798" s="11"/>
    </row>
    <row r="799">
      <c r="A799" s="18"/>
      <c r="B799" s="11"/>
      <c r="C799" s="11"/>
      <c r="D799" s="11"/>
      <c r="E799" s="11"/>
      <c r="F799" s="11"/>
      <c r="G799" s="11"/>
      <c r="H799" s="11"/>
      <c r="I799" s="11"/>
      <c r="J799" s="11"/>
      <c r="K799" s="11"/>
      <c r="L799" s="15"/>
      <c r="M799" s="15"/>
      <c r="N799" s="15"/>
      <c r="O799" s="15"/>
      <c r="P799" s="15"/>
      <c r="Q799" s="11"/>
      <c r="R799" s="11"/>
      <c r="S799" s="11"/>
      <c r="T799" s="11"/>
      <c r="U799" s="15"/>
      <c r="V799" s="11"/>
      <c r="W799" s="11"/>
      <c r="X799" s="11"/>
      <c r="Y799" s="11"/>
      <c r="Z799" s="11"/>
    </row>
    <row r="800">
      <c r="A800" s="18"/>
      <c r="B800" s="11"/>
      <c r="C800" s="11"/>
      <c r="D800" s="11"/>
      <c r="E800" s="11"/>
      <c r="F800" s="11"/>
      <c r="G800" s="11"/>
      <c r="H800" s="11"/>
      <c r="I800" s="11"/>
      <c r="J800" s="11"/>
      <c r="K800" s="11"/>
      <c r="L800" s="15"/>
      <c r="M800" s="15"/>
      <c r="N800" s="15"/>
      <c r="O800" s="15"/>
      <c r="P800" s="15"/>
      <c r="Q800" s="11"/>
      <c r="R800" s="11"/>
      <c r="S800" s="11"/>
      <c r="T800" s="11"/>
      <c r="U800" s="15"/>
      <c r="V800" s="11"/>
      <c r="W800" s="11"/>
      <c r="X800" s="11"/>
      <c r="Y800" s="11"/>
      <c r="Z800" s="11"/>
    </row>
    <row r="801">
      <c r="A801" s="18"/>
      <c r="B801" s="11"/>
      <c r="C801" s="11"/>
      <c r="D801" s="11"/>
      <c r="E801" s="11"/>
      <c r="F801" s="11"/>
      <c r="G801" s="11"/>
      <c r="H801" s="11"/>
      <c r="I801" s="11"/>
      <c r="J801" s="11"/>
      <c r="K801" s="11"/>
      <c r="L801" s="15"/>
      <c r="M801" s="15"/>
      <c r="N801" s="15"/>
      <c r="O801" s="15"/>
      <c r="P801" s="15"/>
      <c r="Q801" s="11"/>
      <c r="R801" s="11"/>
      <c r="S801" s="11"/>
      <c r="T801" s="11"/>
      <c r="U801" s="15"/>
      <c r="V801" s="11"/>
      <c r="W801" s="11"/>
      <c r="X801" s="11"/>
      <c r="Y801" s="11"/>
      <c r="Z801" s="11"/>
    </row>
    <row r="802">
      <c r="A802" s="18"/>
      <c r="B802" s="11"/>
      <c r="C802" s="11"/>
      <c r="D802" s="11"/>
      <c r="E802" s="11"/>
      <c r="F802" s="11"/>
      <c r="G802" s="11"/>
      <c r="H802" s="11"/>
      <c r="I802" s="11"/>
      <c r="J802" s="11"/>
      <c r="K802" s="11"/>
      <c r="L802" s="15"/>
      <c r="M802" s="15"/>
      <c r="N802" s="15"/>
      <c r="O802" s="15"/>
      <c r="P802" s="15"/>
      <c r="Q802" s="11"/>
      <c r="R802" s="11"/>
      <c r="S802" s="11"/>
      <c r="T802" s="11"/>
      <c r="U802" s="15"/>
      <c r="V802" s="11"/>
      <c r="W802" s="11"/>
      <c r="X802" s="11"/>
      <c r="Y802" s="11"/>
      <c r="Z802" s="11"/>
    </row>
    <row r="803">
      <c r="A803" s="18"/>
      <c r="B803" s="11"/>
      <c r="C803" s="11"/>
      <c r="D803" s="11"/>
      <c r="E803" s="11"/>
      <c r="F803" s="11"/>
      <c r="G803" s="11"/>
      <c r="H803" s="11"/>
      <c r="I803" s="11"/>
      <c r="J803" s="11"/>
      <c r="K803" s="11"/>
      <c r="L803" s="15"/>
      <c r="M803" s="15"/>
      <c r="N803" s="15"/>
      <c r="O803" s="15"/>
      <c r="P803" s="15"/>
      <c r="Q803" s="11"/>
      <c r="R803" s="11"/>
      <c r="S803" s="11"/>
      <c r="T803" s="11"/>
      <c r="U803" s="15"/>
      <c r="V803" s="11"/>
      <c r="W803" s="11"/>
      <c r="X803" s="11"/>
      <c r="Y803" s="11"/>
      <c r="Z803" s="11"/>
    </row>
    <row r="804">
      <c r="A804" s="18"/>
      <c r="B804" s="11"/>
      <c r="C804" s="11"/>
      <c r="D804" s="11"/>
      <c r="E804" s="11"/>
      <c r="F804" s="11"/>
      <c r="G804" s="11"/>
      <c r="H804" s="11"/>
      <c r="I804" s="11"/>
      <c r="J804" s="11"/>
      <c r="K804" s="11"/>
      <c r="L804" s="15"/>
      <c r="M804" s="15"/>
      <c r="N804" s="15"/>
      <c r="O804" s="15"/>
      <c r="P804" s="15"/>
      <c r="Q804" s="11"/>
      <c r="R804" s="11"/>
      <c r="S804" s="11"/>
      <c r="T804" s="11"/>
      <c r="U804" s="15"/>
      <c r="V804" s="11"/>
      <c r="W804" s="11"/>
      <c r="X804" s="11"/>
      <c r="Y804" s="11"/>
      <c r="Z804" s="11"/>
    </row>
    <row r="805">
      <c r="A805" s="18"/>
      <c r="B805" s="11"/>
      <c r="C805" s="11"/>
      <c r="D805" s="11"/>
      <c r="E805" s="11"/>
      <c r="F805" s="11"/>
      <c r="G805" s="11"/>
      <c r="H805" s="11"/>
      <c r="I805" s="11"/>
      <c r="J805" s="11"/>
      <c r="K805" s="11"/>
      <c r="L805" s="15"/>
      <c r="M805" s="15"/>
      <c r="N805" s="15"/>
      <c r="O805" s="15"/>
      <c r="P805" s="15"/>
      <c r="Q805" s="11"/>
      <c r="R805" s="11"/>
      <c r="S805" s="11"/>
      <c r="T805" s="11"/>
      <c r="U805" s="15"/>
      <c r="V805" s="11"/>
      <c r="W805" s="11"/>
      <c r="X805" s="11"/>
      <c r="Y805" s="11"/>
      <c r="Z805" s="11"/>
    </row>
    <row r="806">
      <c r="A806" s="18"/>
      <c r="B806" s="11"/>
      <c r="C806" s="11"/>
      <c r="D806" s="11"/>
      <c r="E806" s="11"/>
      <c r="F806" s="11"/>
      <c r="G806" s="11"/>
      <c r="H806" s="11"/>
      <c r="I806" s="11"/>
      <c r="J806" s="11"/>
      <c r="K806" s="11"/>
      <c r="L806" s="15"/>
      <c r="M806" s="15"/>
      <c r="N806" s="15"/>
      <c r="O806" s="15"/>
      <c r="P806" s="15"/>
      <c r="Q806" s="11"/>
      <c r="R806" s="11"/>
      <c r="S806" s="11"/>
      <c r="T806" s="11"/>
      <c r="U806" s="15"/>
      <c r="V806" s="11"/>
      <c r="W806" s="11"/>
      <c r="X806" s="11"/>
      <c r="Y806" s="11"/>
      <c r="Z806" s="11"/>
    </row>
    <row r="807">
      <c r="A807" s="18"/>
      <c r="B807" s="11"/>
      <c r="C807" s="11"/>
      <c r="D807" s="11"/>
      <c r="E807" s="11"/>
      <c r="F807" s="11"/>
      <c r="G807" s="11"/>
      <c r="H807" s="11"/>
      <c r="I807" s="11"/>
      <c r="J807" s="11"/>
      <c r="K807" s="11"/>
      <c r="L807" s="15"/>
      <c r="M807" s="15"/>
      <c r="N807" s="15"/>
      <c r="O807" s="15"/>
      <c r="P807" s="15"/>
      <c r="Q807" s="11"/>
      <c r="R807" s="11"/>
      <c r="S807" s="11"/>
      <c r="T807" s="11"/>
      <c r="U807" s="15"/>
      <c r="V807" s="11"/>
      <c r="W807" s="11"/>
      <c r="X807" s="11"/>
      <c r="Y807" s="11"/>
      <c r="Z807" s="11"/>
    </row>
    <row r="808">
      <c r="A808" s="18"/>
      <c r="B808" s="11"/>
      <c r="C808" s="11"/>
      <c r="D808" s="11"/>
      <c r="E808" s="11"/>
      <c r="F808" s="11"/>
      <c r="G808" s="11"/>
      <c r="H808" s="11"/>
      <c r="I808" s="11"/>
      <c r="J808" s="11"/>
      <c r="K808" s="11"/>
      <c r="L808" s="15"/>
      <c r="M808" s="15"/>
      <c r="N808" s="15"/>
      <c r="O808" s="15"/>
      <c r="P808" s="15"/>
      <c r="Q808" s="11"/>
      <c r="R808" s="11"/>
      <c r="S808" s="11"/>
      <c r="T808" s="11"/>
      <c r="U808" s="15"/>
      <c r="V808" s="11"/>
      <c r="W808" s="11"/>
      <c r="X808" s="11"/>
      <c r="Y808" s="11"/>
      <c r="Z808" s="11"/>
    </row>
    <row r="809">
      <c r="A809" s="18"/>
      <c r="B809" s="11"/>
      <c r="C809" s="11"/>
      <c r="D809" s="11"/>
      <c r="E809" s="11"/>
      <c r="F809" s="11"/>
      <c r="G809" s="11"/>
      <c r="H809" s="11"/>
      <c r="I809" s="11"/>
      <c r="J809" s="11"/>
      <c r="K809" s="11"/>
      <c r="L809" s="15"/>
      <c r="M809" s="15"/>
      <c r="N809" s="15"/>
      <c r="O809" s="15"/>
      <c r="P809" s="15"/>
      <c r="Q809" s="11"/>
      <c r="R809" s="11"/>
      <c r="S809" s="11"/>
      <c r="T809" s="11"/>
      <c r="U809" s="15"/>
      <c r="V809" s="11"/>
      <c r="W809" s="11"/>
      <c r="X809" s="11"/>
      <c r="Y809" s="11"/>
      <c r="Z809" s="11"/>
    </row>
    <row r="810">
      <c r="A810" s="18"/>
      <c r="B810" s="11"/>
      <c r="C810" s="11"/>
      <c r="D810" s="11"/>
      <c r="E810" s="11"/>
      <c r="F810" s="11"/>
      <c r="G810" s="11"/>
      <c r="H810" s="11"/>
      <c r="I810" s="11"/>
      <c r="J810" s="11"/>
      <c r="K810" s="11"/>
      <c r="L810" s="15"/>
      <c r="M810" s="15"/>
      <c r="N810" s="15"/>
      <c r="O810" s="15"/>
      <c r="P810" s="15"/>
      <c r="Q810" s="11"/>
      <c r="R810" s="11"/>
      <c r="S810" s="11"/>
      <c r="T810" s="11"/>
      <c r="U810" s="15"/>
      <c r="V810" s="11"/>
      <c r="W810" s="11"/>
      <c r="X810" s="11"/>
      <c r="Y810" s="11"/>
      <c r="Z810" s="11"/>
    </row>
    <row r="811">
      <c r="A811" s="18"/>
      <c r="B811" s="11"/>
      <c r="C811" s="11"/>
      <c r="D811" s="11"/>
      <c r="E811" s="11"/>
      <c r="F811" s="11"/>
      <c r="G811" s="11"/>
      <c r="H811" s="11"/>
      <c r="I811" s="11"/>
      <c r="J811" s="11"/>
      <c r="K811" s="11"/>
      <c r="L811" s="15"/>
      <c r="M811" s="15"/>
      <c r="N811" s="15"/>
      <c r="O811" s="15"/>
      <c r="P811" s="15"/>
      <c r="Q811" s="11"/>
      <c r="R811" s="11"/>
      <c r="S811" s="11"/>
      <c r="T811" s="11"/>
      <c r="U811" s="15"/>
      <c r="V811" s="11"/>
      <c r="W811" s="11"/>
      <c r="X811" s="11"/>
      <c r="Y811" s="11"/>
      <c r="Z811" s="11"/>
    </row>
    <row r="812">
      <c r="A812" s="18"/>
      <c r="B812" s="11"/>
      <c r="C812" s="11"/>
      <c r="D812" s="11"/>
      <c r="E812" s="11"/>
      <c r="F812" s="11"/>
      <c r="G812" s="11"/>
      <c r="H812" s="11"/>
      <c r="I812" s="11"/>
      <c r="J812" s="11"/>
      <c r="K812" s="11"/>
      <c r="L812" s="15"/>
      <c r="M812" s="15"/>
      <c r="N812" s="15"/>
      <c r="O812" s="15"/>
      <c r="P812" s="15"/>
      <c r="Q812" s="11"/>
      <c r="R812" s="11"/>
      <c r="S812" s="11"/>
      <c r="T812" s="11"/>
      <c r="U812" s="15"/>
      <c r="V812" s="11"/>
      <c r="W812" s="11"/>
      <c r="X812" s="11"/>
      <c r="Y812" s="11"/>
      <c r="Z812" s="11"/>
    </row>
    <row r="813">
      <c r="A813" s="18"/>
      <c r="B813" s="11"/>
      <c r="C813" s="11"/>
      <c r="D813" s="11"/>
      <c r="E813" s="11"/>
      <c r="F813" s="11"/>
      <c r="G813" s="11"/>
      <c r="H813" s="11"/>
      <c r="I813" s="11"/>
      <c r="J813" s="11"/>
      <c r="K813" s="11"/>
      <c r="L813" s="15"/>
      <c r="M813" s="15"/>
      <c r="N813" s="15"/>
      <c r="O813" s="15"/>
      <c r="P813" s="15"/>
      <c r="Q813" s="11"/>
      <c r="R813" s="11"/>
      <c r="S813" s="11"/>
      <c r="T813" s="11"/>
      <c r="U813" s="15"/>
      <c r="V813" s="11"/>
      <c r="W813" s="11"/>
      <c r="X813" s="11"/>
      <c r="Y813" s="11"/>
      <c r="Z813" s="11"/>
    </row>
    <row r="814">
      <c r="A814" s="18"/>
      <c r="B814" s="11"/>
      <c r="C814" s="11"/>
      <c r="D814" s="11"/>
      <c r="E814" s="11"/>
      <c r="F814" s="11"/>
      <c r="G814" s="11"/>
      <c r="H814" s="11"/>
      <c r="I814" s="11"/>
      <c r="J814" s="11"/>
      <c r="K814" s="11"/>
      <c r="L814" s="15"/>
      <c r="M814" s="15"/>
      <c r="N814" s="15"/>
      <c r="O814" s="15"/>
      <c r="P814" s="15"/>
      <c r="Q814" s="11"/>
      <c r="R814" s="11"/>
      <c r="S814" s="11"/>
      <c r="T814" s="11"/>
      <c r="U814" s="15"/>
      <c r="V814" s="11"/>
      <c r="W814" s="11"/>
      <c r="X814" s="11"/>
      <c r="Y814" s="11"/>
      <c r="Z814" s="11"/>
    </row>
    <row r="815">
      <c r="A815" s="18"/>
      <c r="B815" s="11"/>
      <c r="C815" s="11"/>
      <c r="D815" s="11"/>
      <c r="E815" s="11"/>
      <c r="F815" s="11"/>
      <c r="G815" s="11"/>
      <c r="H815" s="11"/>
      <c r="I815" s="11"/>
      <c r="J815" s="11"/>
      <c r="K815" s="11"/>
      <c r="L815" s="15"/>
      <c r="M815" s="15"/>
      <c r="N815" s="15"/>
      <c r="O815" s="15"/>
      <c r="P815" s="15"/>
      <c r="Q815" s="11"/>
      <c r="R815" s="11"/>
      <c r="S815" s="11"/>
      <c r="T815" s="11"/>
      <c r="U815" s="15"/>
      <c r="V815" s="11"/>
      <c r="W815" s="11"/>
      <c r="X815" s="11"/>
      <c r="Y815" s="11"/>
      <c r="Z815" s="11"/>
    </row>
    <row r="816">
      <c r="A816" s="18"/>
      <c r="B816" s="11"/>
      <c r="C816" s="11"/>
      <c r="D816" s="11"/>
      <c r="E816" s="11"/>
      <c r="F816" s="11"/>
      <c r="G816" s="11"/>
      <c r="H816" s="11"/>
      <c r="I816" s="11"/>
      <c r="J816" s="11"/>
      <c r="K816" s="11"/>
      <c r="L816" s="15"/>
      <c r="M816" s="15"/>
      <c r="N816" s="15"/>
      <c r="O816" s="15"/>
      <c r="P816" s="15"/>
      <c r="Q816" s="11"/>
      <c r="R816" s="11"/>
      <c r="S816" s="11"/>
      <c r="T816" s="11"/>
      <c r="U816" s="15"/>
      <c r="V816" s="11"/>
      <c r="W816" s="11"/>
      <c r="X816" s="11"/>
      <c r="Y816" s="11"/>
      <c r="Z816" s="11"/>
    </row>
    <row r="817">
      <c r="A817" s="18"/>
      <c r="B817" s="11"/>
      <c r="C817" s="11"/>
      <c r="D817" s="11"/>
      <c r="E817" s="11"/>
      <c r="F817" s="11"/>
      <c r="G817" s="11"/>
      <c r="H817" s="11"/>
      <c r="I817" s="11"/>
      <c r="J817" s="11"/>
      <c r="K817" s="11"/>
      <c r="L817" s="15"/>
      <c r="M817" s="15"/>
      <c r="N817" s="15"/>
      <c r="O817" s="15"/>
      <c r="P817" s="15"/>
      <c r="Q817" s="11"/>
      <c r="R817" s="11"/>
      <c r="S817" s="11"/>
      <c r="T817" s="11"/>
      <c r="U817" s="15"/>
      <c r="V817" s="11"/>
      <c r="W817" s="11"/>
      <c r="X817" s="11"/>
      <c r="Y817" s="11"/>
      <c r="Z817" s="11"/>
    </row>
    <row r="818">
      <c r="A818" s="18"/>
      <c r="B818" s="11"/>
      <c r="C818" s="11"/>
      <c r="D818" s="11"/>
      <c r="E818" s="11"/>
      <c r="F818" s="11"/>
      <c r="G818" s="11"/>
      <c r="H818" s="11"/>
      <c r="I818" s="11"/>
      <c r="J818" s="11"/>
      <c r="K818" s="11"/>
      <c r="L818" s="15"/>
      <c r="M818" s="15"/>
      <c r="N818" s="15"/>
      <c r="O818" s="15"/>
      <c r="P818" s="15"/>
      <c r="Q818" s="11"/>
      <c r="R818" s="11"/>
      <c r="S818" s="11"/>
      <c r="T818" s="11"/>
      <c r="U818" s="15"/>
      <c r="V818" s="11"/>
      <c r="W818" s="11"/>
      <c r="X818" s="11"/>
      <c r="Y818" s="11"/>
      <c r="Z818" s="11"/>
    </row>
    <row r="819">
      <c r="A819" s="18"/>
      <c r="B819" s="11"/>
      <c r="C819" s="11"/>
      <c r="D819" s="11"/>
      <c r="E819" s="11"/>
      <c r="F819" s="11"/>
      <c r="G819" s="11"/>
      <c r="H819" s="11"/>
      <c r="I819" s="11"/>
      <c r="J819" s="11"/>
      <c r="K819" s="11"/>
      <c r="L819" s="15"/>
      <c r="M819" s="15"/>
      <c r="N819" s="15"/>
      <c r="O819" s="15"/>
      <c r="P819" s="15"/>
      <c r="Q819" s="11"/>
      <c r="R819" s="11"/>
      <c r="S819" s="11"/>
      <c r="T819" s="11"/>
      <c r="U819" s="15"/>
      <c r="V819" s="11"/>
      <c r="W819" s="11"/>
      <c r="X819" s="11"/>
      <c r="Y819" s="11"/>
      <c r="Z819" s="11"/>
    </row>
    <row r="820">
      <c r="A820" s="18"/>
      <c r="B820" s="11"/>
      <c r="C820" s="11"/>
      <c r="D820" s="11"/>
      <c r="E820" s="11"/>
      <c r="F820" s="11"/>
      <c r="G820" s="11"/>
      <c r="H820" s="11"/>
      <c r="I820" s="11"/>
      <c r="J820" s="11"/>
      <c r="K820" s="11"/>
      <c r="L820" s="15"/>
      <c r="M820" s="15"/>
      <c r="N820" s="15"/>
      <c r="O820" s="15"/>
      <c r="P820" s="15"/>
      <c r="Q820" s="11"/>
      <c r="R820" s="11"/>
      <c r="S820" s="11"/>
      <c r="T820" s="11"/>
      <c r="U820" s="15"/>
      <c r="V820" s="11"/>
      <c r="W820" s="11"/>
      <c r="X820" s="11"/>
      <c r="Y820" s="11"/>
      <c r="Z820" s="11"/>
    </row>
    <row r="821">
      <c r="A821" s="18"/>
      <c r="B821" s="11"/>
      <c r="C821" s="11"/>
      <c r="D821" s="11"/>
      <c r="E821" s="11"/>
      <c r="F821" s="11"/>
      <c r="G821" s="11"/>
      <c r="H821" s="11"/>
      <c r="I821" s="11"/>
      <c r="J821" s="11"/>
      <c r="K821" s="11"/>
      <c r="L821" s="15"/>
      <c r="M821" s="15"/>
      <c r="N821" s="15"/>
      <c r="O821" s="15"/>
      <c r="P821" s="15"/>
      <c r="Q821" s="11"/>
      <c r="R821" s="11"/>
      <c r="S821" s="11"/>
      <c r="T821" s="11"/>
      <c r="U821" s="15"/>
      <c r="V821" s="11"/>
      <c r="W821" s="11"/>
      <c r="X821" s="11"/>
      <c r="Y821" s="11"/>
      <c r="Z821" s="11"/>
    </row>
    <row r="822">
      <c r="A822" s="18"/>
      <c r="B822" s="11"/>
      <c r="C822" s="11"/>
      <c r="D822" s="11"/>
      <c r="E822" s="11"/>
      <c r="F822" s="11"/>
      <c r="G822" s="11"/>
      <c r="H822" s="11"/>
      <c r="I822" s="11"/>
      <c r="J822" s="11"/>
      <c r="K822" s="11"/>
      <c r="L822" s="15"/>
      <c r="M822" s="15"/>
      <c r="N822" s="15"/>
      <c r="O822" s="15"/>
      <c r="P822" s="15"/>
      <c r="Q822" s="11"/>
      <c r="R822" s="11"/>
      <c r="S822" s="11"/>
      <c r="T822" s="11"/>
      <c r="U822" s="15"/>
      <c r="V822" s="11"/>
      <c r="W822" s="11"/>
      <c r="X822" s="11"/>
      <c r="Y822" s="11"/>
      <c r="Z822" s="11"/>
    </row>
    <row r="823">
      <c r="A823" s="18"/>
      <c r="B823" s="11"/>
      <c r="C823" s="11"/>
      <c r="D823" s="11"/>
      <c r="E823" s="11"/>
      <c r="F823" s="11"/>
      <c r="G823" s="11"/>
      <c r="H823" s="11"/>
      <c r="I823" s="11"/>
      <c r="J823" s="11"/>
      <c r="K823" s="11"/>
      <c r="L823" s="15"/>
      <c r="M823" s="15"/>
      <c r="N823" s="15"/>
      <c r="O823" s="15"/>
      <c r="P823" s="15"/>
      <c r="Q823" s="11"/>
      <c r="R823" s="11"/>
      <c r="S823" s="11"/>
      <c r="T823" s="11"/>
      <c r="U823" s="15"/>
      <c r="V823" s="11"/>
      <c r="W823" s="11"/>
      <c r="X823" s="11"/>
      <c r="Y823" s="11"/>
      <c r="Z823" s="11"/>
    </row>
    <row r="824">
      <c r="A824" s="18"/>
      <c r="B824" s="11"/>
      <c r="C824" s="11"/>
      <c r="D824" s="11"/>
      <c r="E824" s="11"/>
      <c r="F824" s="11"/>
      <c r="G824" s="11"/>
      <c r="H824" s="11"/>
      <c r="I824" s="11"/>
      <c r="J824" s="11"/>
      <c r="K824" s="11"/>
      <c r="L824" s="15"/>
      <c r="M824" s="15"/>
      <c r="N824" s="15"/>
      <c r="O824" s="15"/>
      <c r="P824" s="15"/>
      <c r="Q824" s="11"/>
      <c r="R824" s="11"/>
      <c r="S824" s="11"/>
      <c r="T824" s="11"/>
      <c r="U824" s="15"/>
      <c r="V824" s="11"/>
      <c r="W824" s="11"/>
      <c r="X824" s="11"/>
      <c r="Y824" s="11"/>
      <c r="Z824" s="11"/>
    </row>
    <row r="825">
      <c r="A825" s="18"/>
      <c r="B825" s="11"/>
      <c r="C825" s="11"/>
      <c r="D825" s="11"/>
      <c r="E825" s="11"/>
      <c r="F825" s="11"/>
      <c r="G825" s="11"/>
      <c r="H825" s="11"/>
      <c r="I825" s="11"/>
      <c r="J825" s="11"/>
      <c r="K825" s="11"/>
      <c r="L825" s="15"/>
      <c r="M825" s="15"/>
      <c r="N825" s="15"/>
      <c r="O825" s="15"/>
      <c r="P825" s="15"/>
      <c r="Q825" s="11"/>
      <c r="R825" s="11"/>
      <c r="S825" s="11"/>
      <c r="T825" s="11"/>
      <c r="U825" s="15"/>
      <c r="V825" s="11"/>
      <c r="W825" s="11"/>
      <c r="X825" s="11"/>
      <c r="Y825" s="11"/>
      <c r="Z825" s="11"/>
    </row>
    <row r="826">
      <c r="A826" s="18"/>
      <c r="B826" s="11"/>
      <c r="C826" s="11"/>
      <c r="D826" s="11"/>
      <c r="E826" s="11"/>
      <c r="F826" s="11"/>
      <c r="G826" s="11"/>
      <c r="H826" s="11"/>
      <c r="I826" s="11"/>
      <c r="J826" s="11"/>
      <c r="K826" s="11"/>
      <c r="L826" s="15"/>
      <c r="M826" s="15"/>
      <c r="N826" s="15"/>
      <c r="O826" s="15"/>
      <c r="P826" s="15"/>
      <c r="Q826" s="11"/>
      <c r="R826" s="11"/>
      <c r="S826" s="11"/>
      <c r="T826" s="11"/>
      <c r="U826" s="15"/>
      <c r="V826" s="11"/>
      <c r="W826" s="11"/>
      <c r="X826" s="11"/>
      <c r="Y826" s="11"/>
      <c r="Z826" s="11"/>
    </row>
    <row r="827">
      <c r="A827" s="18"/>
      <c r="B827" s="11"/>
      <c r="C827" s="11"/>
      <c r="D827" s="11"/>
      <c r="E827" s="11"/>
      <c r="F827" s="11"/>
      <c r="G827" s="11"/>
      <c r="H827" s="11"/>
      <c r="I827" s="11"/>
      <c r="J827" s="11"/>
      <c r="K827" s="11"/>
      <c r="L827" s="15"/>
      <c r="M827" s="15"/>
      <c r="N827" s="15"/>
      <c r="O827" s="15"/>
      <c r="P827" s="15"/>
      <c r="Q827" s="11"/>
      <c r="R827" s="11"/>
      <c r="S827" s="11"/>
      <c r="T827" s="11"/>
      <c r="U827" s="15"/>
      <c r="V827" s="11"/>
      <c r="W827" s="11"/>
      <c r="X827" s="11"/>
      <c r="Y827" s="11"/>
      <c r="Z827" s="11"/>
    </row>
    <row r="828">
      <c r="A828" s="18"/>
      <c r="B828" s="11"/>
      <c r="C828" s="11"/>
      <c r="D828" s="11"/>
      <c r="E828" s="11"/>
      <c r="F828" s="11"/>
      <c r="G828" s="11"/>
      <c r="H828" s="11"/>
      <c r="I828" s="11"/>
      <c r="J828" s="11"/>
      <c r="K828" s="11"/>
      <c r="L828" s="15"/>
      <c r="M828" s="15"/>
      <c r="N828" s="15"/>
      <c r="O828" s="15"/>
      <c r="P828" s="15"/>
      <c r="Q828" s="11"/>
      <c r="R828" s="11"/>
      <c r="S828" s="11"/>
      <c r="T828" s="11"/>
      <c r="U828" s="15"/>
      <c r="V828" s="11"/>
      <c r="W828" s="11"/>
      <c r="X828" s="11"/>
      <c r="Y828" s="11"/>
      <c r="Z828" s="11"/>
    </row>
    <row r="829">
      <c r="A829" s="18"/>
      <c r="B829" s="11"/>
      <c r="C829" s="11"/>
      <c r="D829" s="11"/>
      <c r="E829" s="11"/>
      <c r="F829" s="11"/>
      <c r="G829" s="11"/>
      <c r="H829" s="11"/>
      <c r="I829" s="11"/>
      <c r="J829" s="11"/>
      <c r="K829" s="11"/>
      <c r="L829" s="15"/>
      <c r="M829" s="15"/>
      <c r="N829" s="15"/>
      <c r="O829" s="15"/>
      <c r="P829" s="15"/>
      <c r="Q829" s="11"/>
      <c r="R829" s="11"/>
      <c r="S829" s="11"/>
      <c r="T829" s="11"/>
      <c r="U829" s="15"/>
      <c r="V829" s="11"/>
      <c r="W829" s="11"/>
      <c r="X829" s="11"/>
      <c r="Y829" s="11"/>
      <c r="Z829" s="11"/>
    </row>
    <row r="830">
      <c r="A830" s="18"/>
      <c r="B830" s="11"/>
      <c r="C830" s="11"/>
      <c r="D830" s="11"/>
      <c r="E830" s="11"/>
      <c r="F830" s="11"/>
      <c r="G830" s="11"/>
      <c r="H830" s="11"/>
      <c r="I830" s="11"/>
      <c r="J830" s="11"/>
      <c r="K830" s="11"/>
      <c r="L830" s="15"/>
      <c r="M830" s="15"/>
      <c r="N830" s="15"/>
      <c r="O830" s="15"/>
      <c r="P830" s="15"/>
      <c r="Q830" s="11"/>
      <c r="R830" s="11"/>
      <c r="S830" s="11"/>
      <c r="T830" s="11"/>
      <c r="U830" s="15"/>
      <c r="V830" s="11"/>
      <c r="W830" s="11"/>
      <c r="X830" s="11"/>
      <c r="Y830" s="11"/>
      <c r="Z830" s="11"/>
    </row>
    <row r="831">
      <c r="A831" s="18"/>
      <c r="B831" s="11"/>
      <c r="C831" s="11"/>
      <c r="D831" s="11"/>
      <c r="E831" s="11"/>
      <c r="F831" s="11"/>
      <c r="G831" s="11"/>
      <c r="H831" s="11"/>
      <c r="I831" s="11"/>
      <c r="J831" s="11"/>
      <c r="K831" s="11"/>
      <c r="L831" s="15"/>
      <c r="M831" s="15"/>
      <c r="N831" s="15"/>
      <c r="O831" s="15"/>
      <c r="P831" s="15"/>
      <c r="Q831" s="11"/>
      <c r="R831" s="11"/>
      <c r="S831" s="11"/>
      <c r="T831" s="11"/>
      <c r="U831" s="15"/>
      <c r="V831" s="11"/>
      <c r="W831" s="11"/>
      <c r="X831" s="11"/>
      <c r="Y831" s="11"/>
      <c r="Z831" s="11"/>
    </row>
    <row r="832">
      <c r="A832" s="18"/>
      <c r="B832" s="11"/>
      <c r="C832" s="11"/>
      <c r="D832" s="11"/>
      <c r="E832" s="11"/>
      <c r="F832" s="11"/>
      <c r="G832" s="11"/>
      <c r="H832" s="11"/>
      <c r="I832" s="11"/>
      <c r="J832" s="11"/>
      <c r="K832" s="11"/>
      <c r="L832" s="15"/>
      <c r="M832" s="15"/>
      <c r="N832" s="15"/>
      <c r="O832" s="15"/>
      <c r="P832" s="15"/>
      <c r="Q832" s="11"/>
      <c r="R832" s="11"/>
      <c r="S832" s="11"/>
      <c r="T832" s="11"/>
      <c r="U832" s="15"/>
      <c r="V832" s="11"/>
      <c r="W832" s="11"/>
      <c r="X832" s="11"/>
      <c r="Y832" s="11"/>
      <c r="Z832" s="11"/>
    </row>
    <row r="833">
      <c r="A833" s="18"/>
      <c r="B833" s="11"/>
      <c r="C833" s="11"/>
      <c r="D833" s="11"/>
      <c r="E833" s="11"/>
      <c r="F833" s="11"/>
      <c r="G833" s="11"/>
      <c r="H833" s="11"/>
      <c r="I833" s="11"/>
      <c r="J833" s="11"/>
      <c r="K833" s="11"/>
      <c r="L833" s="15"/>
      <c r="M833" s="15"/>
      <c r="N833" s="15"/>
      <c r="O833" s="15"/>
      <c r="P833" s="15"/>
      <c r="Q833" s="11"/>
      <c r="R833" s="11"/>
      <c r="S833" s="11"/>
      <c r="T833" s="11"/>
      <c r="U833" s="15"/>
      <c r="V833" s="11"/>
      <c r="W833" s="11"/>
      <c r="X833" s="11"/>
      <c r="Y833" s="11"/>
      <c r="Z833" s="11"/>
    </row>
    <row r="834">
      <c r="A834" s="18"/>
      <c r="B834" s="11"/>
      <c r="C834" s="11"/>
      <c r="D834" s="11"/>
      <c r="E834" s="11"/>
      <c r="F834" s="11"/>
      <c r="G834" s="11"/>
      <c r="H834" s="11"/>
      <c r="I834" s="11"/>
      <c r="J834" s="11"/>
      <c r="K834" s="11"/>
      <c r="L834" s="15"/>
      <c r="M834" s="15"/>
      <c r="N834" s="15"/>
      <c r="O834" s="15"/>
      <c r="P834" s="15"/>
      <c r="Q834" s="11"/>
      <c r="R834" s="11"/>
      <c r="S834" s="11"/>
      <c r="T834" s="11"/>
      <c r="U834" s="15"/>
      <c r="V834" s="11"/>
      <c r="W834" s="11"/>
      <c r="X834" s="11"/>
      <c r="Y834" s="11"/>
      <c r="Z834" s="11"/>
    </row>
    <row r="835">
      <c r="A835" s="18"/>
      <c r="B835" s="11"/>
      <c r="C835" s="11"/>
      <c r="D835" s="11"/>
      <c r="E835" s="11"/>
      <c r="F835" s="11"/>
      <c r="G835" s="11"/>
      <c r="H835" s="11"/>
      <c r="I835" s="11"/>
      <c r="J835" s="11"/>
      <c r="K835" s="11"/>
      <c r="L835" s="15"/>
      <c r="M835" s="15"/>
      <c r="N835" s="15"/>
      <c r="O835" s="15"/>
      <c r="P835" s="15"/>
      <c r="Q835" s="11"/>
      <c r="R835" s="11"/>
      <c r="S835" s="11"/>
      <c r="T835" s="11"/>
      <c r="U835" s="15"/>
      <c r="V835" s="11"/>
      <c r="W835" s="11"/>
      <c r="X835" s="11"/>
      <c r="Y835" s="11"/>
      <c r="Z835" s="11"/>
    </row>
    <row r="836">
      <c r="A836" s="18"/>
      <c r="B836" s="11"/>
      <c r="C836" s="11"/>
      <c r="D836" s="11"/>
      <c r="E836" s="11"/>
      <c r="F836" s="11"/>
      <c r="G836" s="11"/>
      <c r="H836" s="11"/>
      <c r="I836" s="11"/>
      <c r="J836" s="11"/>
      <c r="K836" s="11"/>
      <c r="L836" s="15"/>
      <c r="M836" s="15"/>
      <c r="N836" s="15"/>
      <c r="O836" s="15"/>
      <c r="P836" s="15"/>
      <c r="Q836" s="11"/>
      <c r="R836" s="11"/>
      <c r="S836" s="11"/>
      <c r="T836" s="11"/>
      <c r="U836" s="15"/>
      <c r="V836" s="11"/>
      <c r="W836" s="11"/>
      <c r="X836" s="11"/>
      <c r="Y836" s="11"/>
      <c r="Z836" s="11"/>
    </row>
    <row r="837">
      <c r="A837" s="18"/>
      <c r="B837" s="11"/>
      <c r="C837" s="11"/>
      <c r="D837" s="11"/>
      <c r="E837" s="11"/>
      <c r="F837" s="11"/>
      <c r="G837" s="11"/>
      <c r="H837" s="11"/>
      <c r="I837" s="11"/>
      <c r="J837" s="11"/>
      <c r="K837" s="11"/>
      <c r="L837" s="15"/>
      <c r="M837" s="15"/>
      <c r="N837" s="15"/>
      <c r="O837" s="15"/>
      <c r="P837" s="15"/>
      <c r="Q837" s="11"/>
      <c r="R837" s="11"/>
      <c r="S837" s="11"/>
      <c r="T837" s="11"/>
      <c r="U837" s="15"/>
      <c r="V837" s="11"/>
      <c r="W837" s="11"/>
      <c r="X837" s="11"/>
      <c r="Y837" s="11"/>
      <c r="Z837" s="11"/>
    </row>
    <row r="838">
      <c r="A838" s="18"/>
      <c r="B838" s="11"/>
      <c r="C838" s="11"/>
      <c r="D838" s="11"/>
      <c r="E838" s="11"/>
      <c r="F838" s="11"/>
      <c r="G838" s="11"/>
      <c r="H838" s="11"/>
      <c r="I838" s="11"/>
      <c r="J838" s="11"/>
      <c r="K838" s="11"/>
      <c r="L838" s="15"/>
      <c r="M838" s="15"/>
      <c r="N838" s="15"/>
      <c r="O838" s="15"/>
      <c r="P838" s="15"/>
      <c r="Q838" s="11"/>
      <c r="R838" s="11"/>
      <c r="S838" s="11"/>
      <c r="T838" s="11"/>
      <c r="U838" s="15"/>
      <c r="V838" s="11"/>
      <c r="W838" s="11"/>
      <c r="X838" s="11"/>
      <c r="Y838" s="11"/>
      <c r="Z838" s="11"/>
    </row>
    <row r="839">
      <c r="A839" s="18"/>
      <c r="B839" s="11"/>
      <c r="C839" s="11"/>
      <c r="D839" s="11"/>
      <c r="E839" s="11"/>
      <c r="F839" s="11"/>
      <c r="G839" s="11"/>
      <c r="H839" s="11"/>
      <c r="I839" s="11"/>
      <c r="J839" s="11"/>
      <c r="K839" s="11"/>
      <c r="L839" s="15"/>
      <c r="M839" s="15"/>
      <c r="N839" s="15"/>
      <c r="O839" s="15"/>
      <c r="P839" s="15"/>
      <c r="Q839" s="11"/>
      <c r="R839" s="11"/>
      <c r="S839" s="11"/>
      <c r="T839" s="11"/>
      <c r="U839" s="15"/>
      <c r="V839" s="11"/>
      <c r="W839" s="11"/>
      <c r="X839" s="11"/>
      <c r="Y839" s="11"/>
      <c r="Z839" s="11"/>
    </row>
    <row r="840">
      <c r="A840" s="18"/>
      <c r="B840" s="11"/>
      <c r="C840" s="11"/>
      <c r="D840" s="11"/>
      <c r="E840" s="11"/>
      <c r="F840" s="11"/>
      <c r="G840" s="11"/>
      <c r="H840" s="11"/>
      <c r="I840" s="11"/>
      <c r="J840" s="11"/>
      <c r="K840" s="11"/>
      <c r="L840" s="15"/>
      <c r="M840" s="15"/>
      <c r="N840" s="15"/>
      <c r="O840" s="15"/>
      <c r="P840" s="15"/>
      <c r="Q840" s="11"/>
      <c r="R840" s="11"/>
      <c r="S840" s="11"/>
      <c r="T840" s="11"/>
      <c r="U840" s="15"/>
      <c r="V840" s="11"/>
      <c r="W840" s="11"/>
      <c r="X840" s="11"/>
      <c r="Y840" s="11"/>
      <c r="Z840" s="11"/>
    </row>
    <row r="841">
      <c r="A841" s="18"/>
      <c r="B841" s="11"/>
      <c r="C841" s="11"/>
      <c r="D841" s="11"/>
      <c r="E841" s="11"/>
      <c r="F841" s="11"/>
      <c r="G841" s="11"/>
      <c r="H841" s="11"/>
      <c r="I841" s="11"/>
      <c r="J841" s="11"/>
      <c r="K841" s="11"/>
      <c r="L841" s="15"/>
      <c r="M841" s="15"/>
      <c r="N841" s="15"/>
      <c r="O841" s="15"/>
      <c r="P841" s="15"/>
      <c r="Q841" s="11"/>
      <c r="R841" s="11"/>
      <c r="S841" s="11"/>
      <c r="T841" s="11"/>
      <c r="U841" s="15"/>
      <c r="V841" s="11"/>
      <c r="W841" s="11"/>
      <c r="X841" s="11"/>
      <c r="Y841" s="11"/>
      <c r="Z841" s="11"/>
    </row>
    <row r="842">
      <c r="A842" s="18"/>
      <c r="B842" s="11"/>
      <c r="C842" s="11"/>
      <c r="D842" s="11"/>
      <c r="E842" s="11"/>
      <c r="F842" s="11"/>
      <c r="G842" s="11"/>
      <c r="H842" s="11"/>
      <c r="I842" s="11"/>
      <c r="J842" s="11"/>
      <c r="K842" s="11"/>
      <c r="L842" s="15"/>
      <c r="M842" s="15"/>
      <c r="N842" s="15"/>
      <c r="O842" s="15"/>
      <c r="P842" s="15"/>
      <c r="Q842" s="11"/>
      <c r="R842" s="11"/>
      <c r="S842" s="11"/>
      <c r="T842" s="11"/>
      <c r="U842" s="15"/>
      <c r="V842" s="11"/>
      <c r="W842" s="11"/>
      <c r="X842" s="11"/>
      <c r="Y842" s="11"/>
      <c r="Z842" s="11"/>
    </row>
    <row r="843">
      <c r="A843" s="18"/>
      <c r="B843" s="11"/>
      <c r="C843" s="11"/>
      <c r="D843" s="11"/>
      <c r="E843" s="11"/>
      <c r="F843" s="11"/>
      <c r="G843" s="11"/>
      <c r="H843" s="11"/>
      <c r="I843" s="11"/>
      <c r="J843" s="11"/>
      <c r="K843" s="11"/>
      <c r="L843" s="15"/>
      <c r="M843" s="15"/>
      <c r="N843" s="15"/>
      <c r="O843" s="15"/>
      <c r="P843" s="15"/>
      <c r="Q843" s="11"/>
      <c r="R843" s="11"/>
      <c r="S843" s="11"/>
      <c r="T843" s="11"/>
      <c r="U843" s="15"/>
      <c r="V843" s="11"/>
      <c r="W843" s="11"/>
      <c r="X843" s="11"/>
      <c r="Y843" s="11"/>
      <c r="Z843" s="11"/>
    </row>
    <row r="844">
      <c r="A844" s="18"/>
      <c r="B844" s="11"/>
      <c r="C844" s="11"/>
      <c r="D844" s="11"/>
      <c r="E844" s="11"/>
      <c r="F844" s="11"/>
      <c r="G844" s="11"/>
      <c r="H844" s="11"/>
      <c r="I844" s="11"/>
      <c r="J844" s="11"/>
      <c r="K844" s="11"/>
      <c r="L844" s="15"/>
      <c r="M844" s="15"/>
      <c r="N844" s="15"/>
      <c r="O844" s="15"/>
      <c r="P844" s="15"/>
      <c r="Q844" s="11"/>
      <c r="R844" s="11"/>
      <c r="S844" s="11"/>
      <c r="T844" s="11"/>
      <c r="U844" s="15"/>
      <c r="V844" s="11"/>
      <c r="W844" s="11"/>
      <c r="X844" s="11"/>
      <c r="Y844" s="11"/>
      <c r="Z844" s="11"/>
    </row>
    <row r="845">
      <c r="A845" s="18"/>
      <c r="B845" s="11"/>
      <c r="C845" s="11"/>
      <c r="D845" s="11"/>
      <c r="E845" s="11"/>
      <c r="F845" s="11"/>
      <c r="G845" s="11"/>
      <c r="H845" s="11"/>
      <c r="I845" s="11"/>
      <c r="J845" s="11"/>
      <c r="K845" s="11"/>
      <c r="L845" s="15"/>
      <c r="M845" s="15"/>
      <c r="N845" s="15"/>
      <c r="O845" s="15"/>
      <c r="P845" s="15"/>
      <c r="Q845" s="11"/>
      <c r="R845" s="11"/>
      <c r="S845" s="11"/>
      <c r="T845" s="11"/>
      <c r="U845" s="15"/>
      <c r="V845" s="11"/>
      <c r="W845" s="11"/>
      <c r="X845" s="11"/>
      <c r="Y845" s="11"/>
      <c r="Z845" s="11"/>
    </row>
    <row r="846">
      <c r="A846" s="18"/>
      <c r="B846" s="11"/>
      <c r="C846" s="11"/>
      <c r="D846" s="11"/>
      <c r="E846" s="11"/>
      <c r="F846" s="11"/>
      <c r="G846" s="11"/>
      <c r="H846" s="11"/>
      <c r="I846" s="11"/>
      <c r="J846" s="11"/>
      <c r="K846" s="11"/>
      <c r="L846" s="15"/>
      <c r="M846" s="15"/>
      <c r="N846" s="15"/>
      <c r="O846" s="15"/>
      <c r="P846" s="15"/>
      <c r="Q846" s="11"/>
      <c r="R846" s="11"/>
      <c r="S846" s="11"/>
      <c r="T846" s="11"/>
      <c r="U846" s="15"/>
      <c r="V846" s="11"/>
      <c r="W846" s="11"/>
      <c r="X846" s="11"/>
      <c r="Y846" s="11"/>
      <c r="Z846" s="11"/>
    </row>
    <row r="847">
      <c r="A847" s="18"/>
      <c r="B847" s="11"/>
      <c r="C847" s="11"/>
      <c r="D847" s="11"/>
      <c r="E847" s="11"/>
      <c r="F847" s="11"/>
      <c r="G847" s="11"/>
      <c r="H847" s="11"/>
      <c r="I847" s="11"/>
      <c r="J847" s="11"/>
      <c r="K847" s="11"/>
      <c r="L847" s="15"/>
      <c r="M847" s="15"/>
      <c r="N847" s="15"/>
      <c r="O847" s="15"/>
      <c r="P847" s="15"/>
      <c r="Q847" s="11"/>
      <c r="R847" s="11"/>
      <c r="S847" s="11"/>
      <c r="T847" s="11"/>
      <c r="U847" s="15"/>
      <c r="V847" s="11"/>
      <c r="W847" s="11"/>
      <c r="X847" s="11"/>
      <c r="Y847" s="11"/>
      <c r="Z847" s="11"/>
    </row>
    <row r="848">
      <c r="A848" s="18"/>
      <c r="B848" s="11"/>
      <c r="C848" s="11"/>
      <c r="D848" s="11"/>
      <c r="E848" s="11"/>
      <c r="F848" s="11"/>
      <c r="G848" s="11"/>
      <c r="H848" s="11"/>
      <c r="I848" s="11"/>
      <c r="J848" s="11"/>
      <c r="K848" s="11"/>
      <c r="L848" s="15"/>
      <c r="M848" s="15"/>
      <c r="N848" s="15"/>
      <c r="O848" s="15"/>
      <c r="P848" s="15"/>
      <c r="Q848" s="11"/>
      <c r="R848" s="11"/>
      <c r="S848" s="11"/>
      <c r="T848" s="11"/>
      <c r="U848" s="15"/>
      <c r="V848" s="11"/>
      <c r="W848" s="11"/>
      <c r="X848" s="11"/>
      <c r="Y848" s="11"/>
      <c r="Z848" s="11"/>
    </row>
    <row r="849">
      <c r="A849" s="18"/>
      <c r="B849" s="11"/>
      <c r="C849" s="11"/>
      <c r="D849" s="11"/>
      <c r="E849" s="11"/>
      <c r="F849" s="11"/>
      <c r="G849" s="11"/>
      <c r="H849" s="11"/>
      <c r="I849" s="11"/>
      <c r="J849" s="11"/>
      <c r="K849" s="11"/>
      <c r="L849" s="15"/>
      <c r="M849" s="15"/>
      <c r="N849" s="15"/>
      <c r="O849" s="15"/>
      <c r="P849" s="15"/>
      <c r="Q849" s="11"/>
      <c r="R849" s="11"/>
      <c r="S849" s="11"/>
      <c r="T849" s="11"/>
      <c r="U849" s="15"/>
      <c r="V849" s="11"/>
      <c r="W849" s="11"/>
      <c r="X849" s="11"/>
      <c r="Y849" s="11"/>
      <c r="Z849" s="11"/>
    </row>
    <row r="850">
      <c r="A850" s="18"/>
      <c r="B850" s="11"/>
      <c r="C850" s="11"/>
      <c r="D850" s="11"/>
      <c r="E850" s="11"/>
      <c r="F850" s="11"/>
      <c r="G850" s="11"/>
      <c r="H850" s="11"/>
      <c r="I850" s="11"/>
      <c r="J850" s="11"/>
      <c r="K850" s="11"/>
      <c r="L850" s="15"/>
      <c r="M850" s="15"/>
      <c r="N850" s="15"/>
      <c r="O850" s="15"/>
      <c r="P850" s="15"/>
      <c r="Q850" s="11"/>
      <c r="R850" s="11"/>
      <c r="S850" s="11"/>
      <c r="T850" s="11"/>
      <c r="U850" s="15"/>
      <c r="V850" s="11"/>
      <c r="W850" s="11"/>
      <c r="X850" s="11"/>
      <c r="Y850" s="11"/>
      <c r="Z850" s="11"/>
    </row>
    <row r="851">
      <c r="A851" s="18"/>
      <c r="B851" s="11"/>
      <c r="C851" s="11"/>
      <c r="D851" s="11"/>
      <c r="E851" s="11"/>
      <c r="F851" s="11"/>
      <c r="G851" s="11"/>
      <c r="H851" s="11"/>
      <c r="I851" s="11"/>
      <c r="J851" s="11"/>
      <c r="K851" s="11"/>
      <c r="L851" s="15"/>
      <c r="M851" s="15"/>
      <c r="N851" s="15"/>
      <c r="O851" s="15"/>
      <c r="P851" s="15"/>
      <c r="Q851" s="11"/>
      <c r="R851" s="11"/>
      <c r="S851" s="11"/>
      <c r="T851" s="11"/>
      <c r="U851" s="15"/>
      <c r="V851" s="11"/>
      <c r="W851" s="11"/>
      <c r="X851" s="11"/>
      <c r="Y851" s="11"/>
      <c r="Z851" s="11"/>
    </row>
    <row r="852">
      <c r="A852" s="18"/>
      <c r="B852" s="11"/>
      <c r="C852" s="11"/>
      <c r="D852" s="11"/>
      <c r="E852" s="11"/>
      <c r="F852" s="11"/>
      <c r="G852" s="11"/>
      <c r="H852" s="11"/>
      <c r="I852" s="11"/>
      <c r="J852" s="11"/>
      <c r="K852" s="11"/>
      <c r="L852" s="15"/>
      <c r="M852" s="15"/>
      <c r="N852" s="15"/>
      <c r="O852" s="15"/>
      <c r="P852" s="15"/>
      <c r="Q852" s="11"/>
      <c r="R852" s="11"/>
      <c r="S852" s="11"/>
      <c r="T852" s="11"/>
      <c r="U852" s="15"/>
      <c r="V852" s="11"/>
      <c r="W852" s="11"/>
      <c r="X852" s="11"/>
      <c r="Y852" s="11"/>
      <c r="Z852" s="11"/>
    </row>
    <row r="853">
      <c r="A853" s="18"/>
      <c r="B853" s="11"/>
      <c r="C853" s="11"/>
      <c r="D853" s="11"/>
      <c r="E853" s="11"/>
      <c r="F853" s="11"/>
      <c r="G853" s="11"/>
      <c r="H853" s="11"/>
      <c r="I853" s="11"/>
      <c r="J853" s="11"/>
      <c r="K853" s="11"/>
      <c r="L853" s="15"/>
      <c r="M853" s="15"/>
      <c r="N853" s="15"/>
      <c r="O853" s="15"/>
      <c r="P853" s="15"/>
      <c r="Q853" s="11"/>
      <c r="R853" s="11"/>
      <c r="S853" s="11"/>
      <c r="T853" s="11"/>
      <c r="U853" s="15"/>
      <c r="V853" s="11"/>
      <c r="W853" s="11"/>
      <c r="X853" s="11"/>
      <c r="Y853" s="11"/>
      <c r="Z853" s="11"/>
    </row>
    <row r="854">
      <c r="A854" s="18"/>
      <c r="B854" s="11"/>
      <c r="C854" s="11"/>
      <c r="D854" s="11"/>
      <c r="E854" s="11"/>
      <c r="F854" s="11"/>
      <c r="G854" s="11"/>
      <c r="H854" s="11"/>
      <c r="I854" s="11"/>
      <c r="J854" s="11"/>
      <c r="K854" s="11"/>
      <c r="L854" s="15"/>
      <c r="M854" s="15"/>
      <c r="N854" s="15"/>
      <c r="O854" s="15"/>
      <c r="P854" s="15"/>
      <c r="Q854" s="11"/>
      <c r="R854" s="11"/>
      <c r="S854" s="11"/>
      <c r="T854" s="11"/>
      <c r="U854" s="15"/>
      <c r="V854" s="11"/>
      <c r="W854" s="11"/>
      <c r="X854" s="11"/>
      <c r="Y854" s="11"/>
      <c r="Z854" s="11"/>
    </row>
    <row r="855">
      <c r="A855" s="18"/>
      <c r="B855" s="11"/>
      <c r="C855" s="11"/>
      <c r="D855" s="11"/>
      <c r="E855" s="11"/>
      <c r="F855" s="11"/>
      <c r="G855" s="11"/>
      <c r="H855" s="11"/>
      <c r="I855" s="11"/>
      <c r="J855" s="11"/>
      <c r="K855" s="11"/>
      <c r="L855" s="15"/>
      <c r="M855" s="15"/>
      <c r="N855" s="15"/>
      <c r="O855" s="15"/>
      <c r="P855" s="15"/>
      <c r="Q855" s="11"/>
      <c r="R855" s="11"/>
      <c r="S855" s="11"/>
      <c r="T855" s="11"/>
      <c r="U855" s="15"/>
      <c r="V855" s="11"/>
      <c r="W855" s="11"/>
      <c r="X855" s="11"/>
      <c r="Y855" s="11"/>
      <c r="Z855" s="11"/>
    </row>
    <row r="856">
      <c r="A856" s="18"/>
      <c r="B856" s="11"/>
      <c r="C856" s="11"/>
      <c r="D856" s="11"/>
      <c r="E856" s="11"/>
      <c r="F856" s="11"/>
      <c r="G856" s="11"/>
      <c r="H856" s="11"/>
      <c r="I856" s="11"/>
      <c r="J856" s="11"/>
      <c r="K856" s="11"/>
      <c r="L856" s="15"/>
      <c r="M856" s="15"/>
      <c r="N856" s="15"/>
      <c r="O856" s="15"/>
      <c r="P856" s="15"/>
      <c r="Q856" s="11"/>
      <c r="R856" s="11"/>
      <c r="S856" s="11"/>
      <c r="T856" s="11"/>
      <c r="U856" s="15"/>
      <c r="V856" s="11"/>
      <c r="W856" s="11"/>
      <c r="X856" s="11"/>
      <c r="Y856" s="11"/>
      <c r="Z856" s="11"/>
    </row>
    <row r="857">
      <c r="A857" s="18"/>
      <c r="B857" s="11"/>
      <c r="C857" s="11"/>
      <c r="D857" s="11"/>
      <c r="E857" s="11"/>
      <c r="F857" s="11"/>
      <c r="G857" s="11"/>
      <c r="H857" s="11"/>
      <c r="I857" s="11"/>
      <c r="J857" s="11"/>
      <c r="K857" s="11"/>
      <c r="L857" s="15"/>
      <c r="M857" s="15"/>
      <c r="N857" s="15"/>
      <c r="O857" s="15"/>
      <c r="P857" s="15"/>
      <c r="Q857" s="11"/>
      <c r="R857" s="11"/>
      <c r="S857" s="11"/>
      <c r="T857" s="11"/>
      <c r="U857" s="15"/>
      <c r="V857" s="11"/>
      <c r="W857" s="11"/>
      <c r="X857" s="11"/>
      <c r="Y857" s="11"/>
      <c r="Z857" s="11"/>
    </row>
    <row r="858">
      <c r="A858" s="18"/>
      <c r="B858" s="11"/>
      <c r="C858" s="11"/>
      <c r="D858" s="11"/>
      <c r="E858" s="11"/>
      <c r="F858" s="11"/>
      <c r="G858" s="11"/>
      <c r="H858" s="11"/>
      <c r="I858" s="11"/>
      <c r="J858" s="11"/>
      <c r="K858" s="11"/>
      <c r="L858" s="15"/>
      <c r="M858" s="15"/>
      <c r="N858" s="15"/>
      <c r="O858" s="15"/>
      <c r="P858" s="15"/>
      <c r="Q858" s="11"/>
      <c r="R858" s="11"/>
      <c r="S858" s="11"/>
      <c r="T858" s="11"/>
      <c r="U858" s="15"/>
      <c r="V858" s="11"/>
      <c r="W858" s="11"/>
      <c r="X858" s="11"/>
      <c r="Y858" s="11"/>
      <c r="Z858" s="11"/>
    </row>
    <row r="859">
      <c r="A859" s="18"/>
      <c r="B859" s="11"/>
      <c r="C859" s="11"/>
      <c r="D859" s="11"/>
      <c r="E859" s="11"/>
      <c r="F859" s="11"/>
      <c r="G859" s="11"/>
      <c r="H859" s="11"/>
      <c r="I859" s="11"/>
      <c r="J859" s="11"/>
      <c r="K859" s="11"/>
      <c r="L859" s="15"/>
      <c r="M859" s="15"/>
      <c r="N859" s="15"/>
      <c r="O859" s="15"/>
      <c r="P859" s="15"/>
      <c r="Q859" s="11"/>
      <c r="R859" s="11"/>
      <c r="S859" s="11"/>
      <c r="T859" s="11"/>
      <c r="U859" s="15"/>
      <c r="V859" s="11"/>
      <c r="W859" s="11"/>
      <c r="X859" s="11"/>
      <c r="Y859" s="11"/>
      <c r="Z859" s="11"/>
    </row>
    <row r="860">
      <c r="A860" s="18"/>
      <c r="B860" s="11"/>
      <c r="C860" s="11"/>
      <c r="D860" s="11"/>
      <c r="E860" s="11"/>
      <c r="F860" s="11"/>
      <c r="G860" s="11"/>
      <c r="H860" s="11"/>
      <c r="I860" s="11"/>
      <c r="J860" s="11"/>
      <c r="K860" s="11"/>
      <c r="L860" s="15"/>
      <c r="M860" s="15"/>
      <c r="N860" s="15"/>
      <c r="O860" s="15"/>
      <c r="P860" s="15"/>
      <c r="Q860" s="11"/>
      <c r="R860" s="11"/>
      <c r="S860" s="11"/>
      <c r="T860" s="11"/>
      <c r="U860" s="15"/>
      <c r="V860" s="11"/>
      <c r="W860" s="11"/>
      <c r="X860" s="11"/>
      <c r="Y860" s="11"/>
      <c r="Z860" s="11"/>
    </row>
    <row r="861">
      <c r="A861" s="18"/>
      <c r="B861" s="11"/>
      <c r="C861" s="11"/>
      <c r="D861" s="11"/>
      <c r="E861" s="11"/>
      <c r="F861" s="11"/>
      <c r="G861" s="11"/>
      <c r="H861" s="11"/>
      <c r="I861" s="11"/>
      <c r="J861" s="11"/>
      <c r="K861" s="11"/>
      <c r="L861" s="15"/>
      <c r="M861" s="15"/>
      <c r="N861" s="15"/>
      <c r="O861" s="15"/>
      <c r="P861" s="15"/>
      <c r="Q861" s="11"/>
      <c r="R861" s="11"/>
      <c r="S861" s="11"/>
      <c r="T861" s="11"/>
      <c r="U861" s="15"/>
      <c r="V861" s="11"/>
      <c r="W861" s="11"/>
      <c r="X861" s="11"/>
      <c r="Y861" s="11"/>
      <c r="Z861" s="11"/>
    </row>
    <row r="862">
      <c r="A862" s="18"/>
      <c r="B862" s="11"/>
      <c r="C862" s="11"/>
      <c r="D862" s="11"/>
      <c r="E862" s="11"/>
      <c r="F862" s="11"/>
      <c r="G862" s="11"/>
      <c r="H862" s="11"/>
      <c r="I862" s="11"/>
      <c r="J862" s="11"/>
      <c r="K862" s="11"/>
      <c r="L862" s="15"/>
      <c r="M862" s="15"/>
      <c r="N862" s="15"/>
      <c r="O862" s="15"/>
      <c r="P862" s="15"/>
      <c r="Q862" s="11"/>
      <c r="R862" s="11"/>
      <c r="S862" s="11"/>
      <c r="T862" s="11"/>
      <c r="U862" s="15"/>
      <c r="V862" s="11"/>
      <c r="W862" s="11"/>
      <c r="X862" s="11"/>
      <c r="Y862" s="11"/>
      <c r="Z862" s="11"/>
    </row>
    <row r="863">
      <c r="A863" s="18"/>
      <c r="B863" s="11"/>
      <c r="C863" s="11"/>
      <c r="D863" s="11"/>
      <c r="E863" s="11"/>
      <c r="F863" s="11"/>
      <c r="G863" s="11"/>
      <c r="H863" s="11"/>
      <c r="I863" s="11"/>
      <c r="J863" s="11"/>
      <c r="K863" s="11"/>
      <c r="L863" s="15"/>
      <c r="M863" s="15"/>
      <c r="N863" s="15"/>
      <c r="O863" s="15"/>
      <c r="P863" s="15"/>
      <c r="Q863" s="11"/>
      <c r="R863" s="11"/>
      <c r="S863" s="11"/>
      <c r="T863" s="11"/>
      <c r="U863" s="15"/>
      <c r="V863" s="11"/>
      <c r="W863" s="11"/>
      <c r="X863" s="11"/>
      <c r="Y863" s="11"/>
      <c r="Z863" s="11"/>
    </row>
    <row r="864">
      <c r="A864" s="18"/>
      <c r="B864" s="11"/>
      <c r="C864" s="11"/>
      <c r="D864" s="11"/>
      <c r="E864" s="11"/>
      <c r="F864" s="11"/>
      <c r="G864" s="11"/>
      <c r="H864" s="11"/>
      <c r="I864" s="11"/>
      <c r="J864" s="11"/>
      <c r="K864" s="11"/>
      <c r="L864" s="15"/>
      <c r="M864" s="15"/>
      <c r="N864" s="15"/>
      <c r="O864" s="15"/>
      <c r="P864" s="15"/>
      <c r="Q864" s="11"/>
      <c r="R864" s="11"/>
      <c r="S864" s="11"/>
      <c r="T864" s="11"/>
      <c r="U864" s="15"/>
      <c r="V864" s="11"/>
      <c r="W864" s="11"/>
      <c r="X864" s="11"/>
      <c r="Y864" s="11"/>
      <c r="Z864" s="11"/>
    </row>
    <row r="865">
      <c r="A865" s="18"/>
      <c r="B865" s="11"/>
      <c r="C865" s="11"/>
      <c r="D865" s="11"/>
      <c r="E865" s="11"/>
      <c r="F865" s="11"/>
      <c r="G865" s="11"/>
      <c r="H865" s="11"/>
      <c r="I865" s="11"/>
      <c r="J865" s="11"/>
      <c r="K865" s="11"/>
      <c r="L865" s="15"/>
      <c r="M865" s="15"/>
      <c r="N865" s="15"/>
      <c r="O865" s="15"/>
      <c r="P865" s="15"/>
      <c r="Q865" s="11"/>
      <c r="R865" s="11"/>
      <c r="S865" s="11"/>
      <c r="T865" s="11"/>
      <c r="U865" s="15"/>
      <c r="V865" s="11"/>
      <c r="W865" s="11"/>
      <c r="X865" s="11"/>
      <c r="Y865" s="11"/>
      <c r="Z865" s="11"/>
    </row>
    <row r="866">
      <c r="A866" s="18"/>
      <c r="B866" s="11"/>
      <c r="C866" s="11"/>
      <c r="D866" s="11"/>
      <c r="E866" s="11"/>
      <c r="F866" s="11"/>
      <c r="G866" s="11"/>
      <c r="H866" s="11"/>
      <c r="I866" s="11"/>
      <c r="J866" s="11"/>
      <c r="K866" s="11"/>
      <c r="L866" s="15"/>
      <c r="M866" s="15"/>
      <c r="N866" s="15"/>
      <c r="O866" s="15"/>
      <c r="P866" s="15"/>
      <c r="Q866" s="11"/>
      <c r="R866" s="11"/>
      <c r="S866" s="11"/>
      <c r="T866" s="11"/>
      <c r="U866" s="15"/>
      <c r="V866" s="11"/>
      <c r="W866" s="11"/>
      <c r="X866" s="11"/>
      <c r="Y866" s="11"/>
      <c r="Z866" s="11"/>
    </row>
    <row r="867">
      <c r="A867" s="18"/>
      <c r="B867" s="11"/>
      <c r="C867" s="11"/>
      <c r="D867" s="11"/>
      <c r="E867" s="11"/>
      <c r="F867" s="11"/>
      <c r="G867" s="11"/>
      <c r="H867" s="11"/>
      <c r="I867" s="11"/>
      <c r="J867" s="11"/>
      <c r="K867" s="11"/>
      <c r="L867" s="15"/>
      <c r="M867" s="15"/>
      <c r="N867" s="15"/>
      <c r="O867" s="15"/>
      <c r="P867" s="15"/>
      <c r="Q867" s="11"/>
      <c r="R867" s="11"/>
      <c r="S867" s="11"/>
      <c r="T867" s="11"/>
      <c r="U867" s="15"/>
      <c r="V867" s="11"/>
      <c r="W867" s="11"/>
      <c r="X867" s="11"/>
      <c r="Y867" s="11"/>
      <c r="Z867" s="11"/>
    </row>
    <row r="868">
      <c r="A868" s="18"/>
      <c r="B868" s="11"/>
      <c r="C868" s="11"/>
      <c r="D868" s="11"/>
      <c r="E868" s="11"/>
      <c r="F868" s="11"/>
      <c r="G868" s="11"/>
      <c r="H868" s="11"/>
      <c r="I868" s="11"/>
      <c r="J868" s="11"/>
      <c r="K868" s="11"/>
      <c r="L868" s="15"/>
      <c r="M868" s="15"/>
      <c r="N868" s="15"/>
      <c r="O868" s="15"/>
      <c r="P868" s="15"/>
      <c r="Q868" s="11"/>
      <c r="R868" s="11"/>
      <c r="S868" s="11"/>
      <c r="T868" s="11"/>
      <c r="U868" s="15"/>
      <c r="V868" s="11"/>
      <c r="W868" s="11"/>
      <c r="X868" s="11"/>
      <c r="Y868" s="11"/>
      <c r="Z868" s="11"/>
    </row>
    <row r="869">
      <c r="A869" s="18"/>
      <c r="B869" s="11"/>
      <c r="C869" s="11"/>
      <c r="D869" s="11"/>
      <c r="E869" s="11"/>
      <c r="F869" s="11"/>
      <c r="G869" s="11"/>
      <c r="H869" s="11"/>
      <c r="I869" s="11"/>
      <c r="J869" s="11"/>
      <c r="K869" s="11"/>
      <c r="L869" s="15"/>
      <c r="M869" s="15"/>
      <c r="N869" s="15"/>
      <c r="O869" s="15"/>
      <c r="P869" s="15"/>
      <c r="Q869" s="11"/>
      <c r="R869" s="11"/>
      <c r="S869" s="11"/>
      <c r="T869" s="11"/>
      <c r="U869" s="15"/>
      <c r="V869" s="11"/>
      <c r="W869" s="11"/>
      <c r="X869" s="11"/>
      <c r="Y869" s="11"/>
      <c r="Z869" s="11"/>
    </row>
    <row r="870">
      <c r="A870" s="18"/>
      <c r="B870" s="11"/>
      <c r="C870" s="11"/>
      <c r="D870" s="11"/>
      <c r="E870" s="11"/>
      <c r="F870" s="11"/>
      <c r="G870" s="11"/>
      <c r="H870" s="11"/>
      <c r="I870" s="11"/>
      <c r="J870" s="11"/>
      <c r="K870" s="11"/>
      <c r="L870" s="15"/>
      <c r="M870" s="15"/>
      <c r="N870" s="15"/>
      <c r="O870" s="15"/>
      <c r="P870" s="15"/>
      <c r="Q870" s="11"/>
      <c r="R870" s="11"/>
      <c r="S870" s="11"/>
      <c r="T870" s="11"/>
      <c r="U870" s="15"/>
      <c r="V870" s="11"/>
      <c r="W870" s="11"/>
      <c r="X870" s="11"/>
      <c r="Y870" s="11"/>
      <c r="Z870" s="11"/>
    </row>
    <row r="871">
      <c r="A871" s="18"/>
      <c r="B871" s="11"/>
      <c r="C871" s="11"/>
      <c r="D871" s="11"/>
      <c r="E871" s="11"/>
      <c r="F871" s="11"/>
      <c r="G871" s="11"/>
      <c r="H871" s="11"/>
      <c r="I871" s="11"/>
      <c r="J871" s="11"/>
      <c r="K871" s="11"/>
      <c r="L871" s="15"/>
      <c r="M871" s="15"/>
      <c r="N871" s="15"/>
      <c r="O871" s="15"/>
      <c r="P871" s="15"/>
      <c r="Q871" s="11"/>
      <c r="R871" s="11"/>
      <c r="S871" s="11"/>
      <c r="T871" s="11"/>
      <c r="U871" s="15"/>
      <c r="V871" s="11"/>
      <c r="W871" s="11"/>
      <c r="X871" s="11"/>
      <c r="Y871" s="11"/>
      <c r="Z871" s="11"/>
    </row>
    <row r="872">
      <c r="A872" s="18"/>
      <c r="B872" s="11"/>
      <c r="C872" s="11"/>
      <c r="D872" s="11"/>
      <c r="E872" s="11"/>
      <c r="F872" s="11"/>
      <c r="G872" s="11"/>
      <c r="H872" s="11"/>
      <c r="I872" s="11"/>
      <c r="J872" s="11"/>
      <c r="K872" s="11"/>
      <c r="L872" s="15"/>
      <c r="M872" s="15"/>
      <c r="N872" s="15"/>
      <c r="O872" s="15"/>
      <c r="P872" s="15"/>
      <c r="Q872" s="11"/>
      <c r="R872" s="11"/>
      <c r="S872" s="11"/>
      <c r="T872" s="11"/>
      <c r="U872" s="15"/>
      <c r="V872" s="11"/>
      <c r="W872" s="11"/>
      <c r="X872" s="11"/>
      <c r="Y872" s="11"/>
      <c r="Z872" s="11"/>
    </row>
    <row r="873">
      <c r="A873" s="18"/>
      <c r="B873" s="11"/>
      <c r="C873" s="11"/>
      <c r="D873" s="11"/>
      <c r="E873" s="11"/>
      <c r="F873" s="11"/>
      <c r="G873" s="11"/>
      <c r="H873" s="11"/>
      <c r="I873" s="11"/>
      <c r="J873" s="11"/>
      <c r="K873" s="11"/>
      <c r="L873" s="15"/>
      <c r="M873" s="15"/>
      <c r="N873" s="15"/>
      <c r="O873" s="15"/>
      <c r="P873" s="15"/>
      <c r="Q873" s="11"/>
      <c r="R873" s="11"/>
      <c r="S873" s="11"/>
      <c r="T873" s="11"/>
      <c r="U873" s="15"/>
      <c r="V873" s="11"/>
      <c r="W873" s="11"/>
      <c r="X873" s="11"/>
      <c r="Y873" s="11"/>
      <c r="Z873" s="11"/>
    </row>
    <row r="874">
      <c r="A874" s="18"/>
      <c r="B874" s="11"/>
      <c r="C874" s="11"/>
      <c r="D874" s="11"/>
      <c r="E874" s="11"/>
      <c r="F874" s="11"/>
      <c r="G874" s="11"/>
      <c r="H874" s="11"/>
      <c r="I874" s="11"/>
      <c r="J874" s="11"/>
      <c r="K874" s="11"/>
      <c r="L874" s="15"/>
      <c r="M874" s="15"/>
      <c r="N874" s="15"/>
      <c r="O874" s="15"/>
      <c r="P874" s="15"/>
      <c r="Q874" s="11"/>
      <c r="R874" s="11"/>
      <c r="S874" s="11"/>
      <c r="T874" s="11"/>
      <c r="U874" s="15"/>
      <c r="V874" s="11"/>
      <c r="W874" s="11"/>
      <c r="X874" s="11"/>
      <c r="Y874" s="11"/>
      <c r="Z874" s="11"/>
    </row>
    <row r="875">
      <c r="A875" s="18"/>
      <c r="B875" s="11"/>
      <c r="C875" s="11"/>
      <c r="D875" s="11"/>
      <c r="E875" s="11"/>
      <c r="F875" s="11"/>
      <c r="G875" s="11"/>
      <c r="H875" s="11"/>
      <c r="I875" s="11"/>
      <c r="J875" s="11"/>
      <c r="K875" s="11"/>
      <c r="L875" s="15"/>
      <c r="M875" s="15"/>
      <c r="N875" s="15"/>
      <c r="O875" s="15"/>
      <c r="P875" s="15"/>
      <c r="Q875" s="11"/>
      <c r="R875" s="11"/>
      <c r="S875" s="11"/>
      <c r="T875" s="11"/>
      <c r="U875" s="15"/>
      <c r="V875" s="11"/>
      <c r="W875" s="11"/>
      <c r="X875" s="11"/>
      <c r="Y875" s="11"/>
      <c r="Z875" s="11"/>
    </row>
    <row r="876">
      <c r="A876" s="18"/>
      <c r="B876" s="11"/>
      <c r="C876" s="11"/>
      <c r="D876" s="11"/>
      <c r="E876" s="11"/>
      <c r="F876" s="11"/>
      <c r="G876" s="11"/>
      <c r="H876" s="11"/>
      <c r="I876" s="11"/>
      <c r="J876" s="11"/>
      <c r="K876" s="11"/>
      <c r="L876" s="15"/>
      <c r="M876" s="15"/>
      <c r="N876" s="15"/>
      <c r="O876" s="15"/>
      <c r="P876" s="15"/>
      <c r="Q876" s="11"/>
      <c r="R876" s="11"/>
      <c r="S876" s="11"/>
      <c r="T876" s="11"/>
      <c r="U876" s="15"/>
      <c r="V876" s="11"/>
      <c r="W876" s="11"/>
      <c r="X876" s="11"/>
      <c r="Y876" s="11"/>
      <c r="Z876" s="11"/>
    </row>
    <row r="877">
      <c r="A877" s="18"/>
      <c r="B877" s="11"/>
      <c r="C877" s="11"/>
      <c r="D877" s="11"/>
      <c r="E877" s="11"/>
      <c r="F877" s="11"/>
      <c r="G877" s="11"/>
      <c r="H877" s="11"/>
      <c r="I877" s="11"/>
      <c r="J877" s="11"/>
      <c r="K877" s="11"/>
      <c r="L877" s="15"/>
      <c r="M877" s="15"/>
      <c r="N877" s="15"/>
      <c r="O877" s="15"/>
      <c r="P877" s="15"/>
      <c r="Q877" s="11"/>
      <c r="R877" s="11"/>
      <c r="S877" s="11"/>
      <c r="T877" s="11"/>
      <c r="U877" s="15"/>
      <c r="V877" s="11"/>
      <c r="W877" s="11"/>
      <c r="X877" s="11"/>
      <c r="Y877" s="11"/>
      <c r="Z877" s="11"/>
    </row>
    <row r="878">
      <c r="A878" s="18"/>
      <c r="B878" s="11"/>
      <c r="C878" s="11"/>
      <c r="D878" s="11"/>
      <c r="E878" s="11"/>
      <c r="F878" s="11"/>
      <c r="G878" s="11"/>
      <c r="H878" s="11"/>
      <c r="I878" s="11"/>
      <c r="J878" s="11"/>
      <c r="K878" s="11"/>
      <c r="L878" s="15"/>
      <c r="M878" s="15"/>
      <c r="N878" s="15"/>
      <c r="O878" s="15"/>
      <c r="P878" s="15"/>
      <c r="Q878" s="11"/>
      <c r="R878" s="11"/>
      <c r="S878" s="11"/>
      <c r="T878" s="11"/>
      <c r="U878" s="15"/>
      <c r="V878" s="11"/>
      <c r="W878" s="11"/>
      <c r="X878" s="11"/>
      <c r="Y878" s="11"/>
      <c r="Z878" s="11"/>
    </row>
    <row r="879">
      <c r="A879" s="18"/>
      <c r="B879" s="11"/>
      <c r="C879" s="11"/>
      <c r="D879" s="11"/>
      <c r="E879" s="11"/>
      <c r="F879" s="11"/>
      <c r="G879" s="11"/>
      <c r="H879" s="11"/>
      <c r="I879" s="11"/>
      <c r="J879" s="11"/>
      <c r="K879" s="11"/>
      <c r="L879" s="15"/>
      <c r="M879" s="15"/>
      <c r="N879" s="15"/>
      <c r="O879" s="15"/>
      <c r="P879" s="15"/>
      <c r="Q879" s="11"/>
      <c r="R879" s="11"/>
      <c r="S879" s="11"/>
      <c r="T879" s="11"/>
      <c r="U879" s="15"/>
      <c r="V879" s="11"/>
      <c r="W879" s="11"/>
      <c r="X879" s="11"/>
      <c r="Y879" s="11"/>
      <c r="Z879" s="11"/>
    </row>
    <row r="880">
      <c r="A880" s="18"/>
      <c r="B880" s="11"/>
      <c r="C880" s="11"/>
      <c r="D880" s="11"/>
      <c r="E880" s="11"/>
      <c r="F880" s="11"/>
      <c r="G880" s="11"/>
      <c r="H880" s="11"/>
      <c r="I880" s="11"/>
      <c r="J880" s="11"/>
      <c r="K880" s="11"/>
      <c r="L880" s="15"/>
      <c r="M880" s="15"/>
      <c r="N880" s="15"/>
      <c r="O880" s="15"/>
      <c r="P880" s="15"/>
      <c r="Q880" s="11"/>
      <c r="R880" s="11"/>
      <c r="S880" s="11"/>
      <c r="T880" s="11"/>
      <c r="U880" s="15"/>
      <c r="V880" s="11"/>
      <c r="W880" s="11"/>
      <c r="X880" s="11"/>
      <c r="Y880" s="11"/>
      <c r="Z880" s="11"/>
    </row>
    <row r="881">
      <c r="A881" s="18"/>
      <c r="B881" s="11"/>
      <c r="C881" s="11"/>
      <c r="D881" s="11"/>
      <c r="E881" s="11"/>
      <c r="F881" s="11"/>
      <c r="G881" s="11"/>
      <c r="H881" s="11"/>
      <c r="I881" s="11"/>
      <c r="J881" s="11"/>
      <c r="K881" s="11"/>
      <c r="L881" s="15"/>
      <c r="M881" s="15"/>
      <c r="N881" s="15"/>
      <c r="O881" s="15"/>
      <c r="P881" s="15"/>
      <c r="Q881" s="11"/>
      <c r="R881" s="11"/>
      <c r="S881" s="11"/>
      <c r="T881" s="11"/>
      <c r="U881" s="15"/>
      <c r="V881" s="11"/>
      <c r="W881" s="11"/>
      <c r="X881" s="11"/>
      <c r="Y881" s="11"/>
      <c r="Z881" s="11"/>
    </row>
    <row r="882">
      <c r="A882" s="18"/>
      <c r="B882" s="11"/>
      <c r="C882" s="11"/>
      <c r="D882" s="11"/>
      <c r="E882" s="11"/>
      <c r="F882" s="11"/>
      <c r="G882" s="11"/>
      <c r="H882" s="11"/>
      <c r="I882" s="11"/>
      <c r="J882" s="11"/>
      <c r="K882" s="11"/>
      <c r="L882" s="15"/>
      <c r="M882" s="15"/>
      <c r="N882" s="15"/>
      <c r="O882" s="15"/>
      <c r="P882" s="15"/>
      <c r="Q882" s="11"/>
      <c r="R882" s="11"/>
      <c r="S882" s="11"/>
      <c r="T882" s="11"/>
      <c r="U882" s="15"/>
      <c r="V882" s="11"/>
      <c r="W882" s="11"/>
      <c r="X882" s="11"/>
      <c r="Y882" s="11"/>
      <c r="Z882" s="11"/>
    </row>
    <row r="883">
      <c r="A883" s="18"/>
      <c r="B883" s="11"/>
      <c r="C883" s="11"/>
      <c r="D883" s="11"/>
      <c r="E883" s="11"/>
      <c r="F883" s="11"/>
      <c r="G883" s="11"/>
      <c r="H883" s="11"/>
      <c r="I883" s="11"/>
      <c r="J883" s="11"/>
      <c r="K883" s="11"/>
      <c r="L883" s="15"/>
      <c r="M883" s="15"/>
      <c r="N883" s="15"/>
      <c r="O883" s="15"/>
      <c r="P883" s="15"/>
      <c r="Q883" s="11"/>
      <c r="R883" s="11"/>
      <c r="S883" s="11"/>
      <c r="T883" s="11"/>
      <c r="U883" s="15"/>
      <c r="V883" s="11"/>
      <c r="W883" s="11"/>
      <c r="X883" s="11"/>
      <c r="Y883" s="11"/>
      <c r="Z883" s="11"/>
    </row>
    <row r="884">
      <c r="A884" s="18"/>
      <c r="B884" s="11"/>
      <c r="C884" s="11"/>
      <c r="D884" s="11"/>
      <c r="E884" s="11"/>
      <c r="F884" s="11"/>
      <c r="G884" s="11"/>
      <c r="H884" s="11"/>
      <c r="I884" s="11"/>
      <c r="J884" s="11"/>
      <c r="K884" s="11"/>
      <c r="L884" s="15"/>
      <c r="M884" s="15"/>
      <c r="N884" s="15"/>
      <c r="O884" s="15"/>
      <c r="P884" s="15"/>
      <c r="Q884" s="11"/>
      <c r="R884" s="11"/>
      <c r="S884" s="11"/>
      <c r="T884" s="11"/>
      <c r="U884" s="15"/>
      <c r="V884" s="11"/>
      <c r="W884" s="11"/>
      <c r="X884" s="11"/>
      <c r="Y884" s="11"/>
      <c r="Z884" s="11"/>
    </row>
    <row r="885">
      <c r="A885" s="18"/>
      <c r="B885" s="11"/>
      <c r="C885" s="11"/>
      <c r="D885" s="11"/>
      <c r="E885" s="11"/>
      <c r="F885" s="11"/>
      <c r="G885" s="11"/>
      <c r="H885" s="11"/>
      <c r="I885" s="11"/>
      <c r="J885" s="11"/>
      <c r="K885" s="11"/>
      <c r="L885" s="15"/>
      <c r="M885" s="15"/>
      <c r="N885" s="15"/>
      <c r="O885" s="15"/>
      <c r="P885" s="15"/>
      <c r="Q885" s="11"/>
      <c r="R885" s="11"/>
      <c r="S885" s="11"/>
      <c r="T885" s="11"/>
      <c r="U885" s="15"/>
      <c r="V885" s="11"/>
      <c r="W885" s="11"/>
      <c r="X885" s="11"/>
      <c r="Y885" s="11"/>
      <c r="Z885" s="11"/>
    </row>
    <row r="886">
      <c r="A886" s="18"/>
      <c r="B886" s="11"/>
      <c r="C886" s="11"/>
      <c r="D886" s="11"/>
      <c r="E886" s="11"/>
      <c r="F886" s="11"/>
      <c r="G886" s="11"/>
      <c r="H886" s="11"/>
      <c r="I886" s="11"/>
      <c r="J886" s="11"/>
      <c r="K886" s="11"/>
      <c r="L886" s="15"/>
      <c r="M886" s="15"/>
      <c r="N886" s="15"/>
      <c r="O886" s="15"/>
      <c r="P886" s="15"/>
      <c r="Q886" s="11"/>
      <c r="R886" s="11"/>
      <c r="S886" s="11"/>
      <c r="T886" s="11"/>
      <c r="U886" s="15"/>
      <c r="V886" s="11"/>
      <c r="W886" s="11"/>
      <c r="X886" s="11"/>
      <c r="Y886" s="11"/>
      <c r="Z886" s="11"/>
    </row>
    <row r="887">
      <c r="A887" s="18"/>
      <c r="B887" s="11"/>
      <c r="C887" s="11"/>
      <c r="D887" s="11"/>
      <c r="E887" s="11"/>
      <c r="F887" s="11"/>
      <c r="G887" s="11"/>
      <c r="H887" s="11"/>
      <c r="I887" s="11"/>
      <c r="J887" s="11"/>
      <c r="K887" s="11"/>
      <c r="L887" s="15"/>
      <c r="M887" s="15"/>
      <c r="N887" s="15"/>
      <c r="O887" s="15"/>
      <c r="P887" s="15"/>
      <c r="Q887" s="11"/>
      <c r="R887" s="11"/>
      <c r="S887" s="11"/>
      <c r="T887" s="11"/>
      <c r="U887" s="15"/>
      <c r="V887" s="11"/>
      <c r="W887" s="11"/>
      <c r="X887" s="11"/>
      <c r="Y887" s="11"/>
      <c r="Z887" s="11"/>
    </row>
    <row r="888">
      <c r="A888" s="18"/>
      <c r="B888" s="11"/>
      <c r="C888" s="11"/>
      <c r="D888" s="11"/>
      <c r="E888" s="11"/>
      <c r="F888" s="11"/>
      <c r="G888" s="11"/>
      <c r="H888" s="11"/>
      <c r="I888" s="11"/>
      <c r="J888" s="11"/>
      <c r="K888" s="11"/>
      <c r="L888" s="15"/>
      <c r="M888" s="15"/>
      <c r="N888" s="15"/>
      <c r="O888" s="15"/>
      <c r="P888" s="15"/>
      <c r="Q888" s="11"/>
      <c r="R888" s="11"/>
      <c r="S888" s="11"/>
      <c r="T888" s="11"/>
      <c r="U888" s="15"/>
      <c r="V888" s="11"/>
      <c r="W888" s="11"/>
      <c r="X888" s="11"/>
      <c r="Y888" s="11"/>
      <c r="Z888" s="11"/>
    </row>
    <row r="889">
      <c r="A889" s="18"/>
      <c r="B889" s="11"/>
      <c r="C889" s="11"/>
      <c r="D889" s="11"/>
      <c r="E889" s="11"/>
      <c r="F889" s="11"/>
      <c r="G889" s="11"/>
      <c r="H889" s="11"/>
      <c r="I889" s="11"/>
      <c r="J889" s="11"/>
      <c r="K889" s="11"/>
      <c r="L889" s="15"/>
      <c r="M889" s="15"/>
      <c r="N889" s="15"/>
      <c r="O889" s="15"/>
      <c r="P889" s="15"/>
      <c r="Q889" s="11"/>
      <c r="R889" s="11"/>
      <c r="S889" s="11"/>
      <c r="T889" s="11"/>
      <c r="U889" s="15"/>
      <c r="V889" s="11"/>
      <c r="W889" s="11"/>
      <c r="X889" s="11"/>
      <c r="Y889" s="11"/>
      <c r="Z889" s="11"/>
    </row>
    <row r="890">
      <c r="A890" s="18"/>
      <c r="B890" s="11"/>
      <c r="C890" s="11"/>
      <c r="D890" s="11"/>
      <c r="E890" s="11"/>
      <c r="F890" s="11"/>
      <c r="G890" s="11"/>
      <c r="H890" s="11"/>
      <c r="I890" s="11"/>
      <c r="J890" s="11"/>
      <c r="K890" s="11"/>
      <c r="L890" s="15"/>
      <c r="M890" s="15"/>
      <c r="N890" s="15"/>
      <c r="O890" s="15"/>
      <c r="P890" s="15"/>
      <c r="Q890" s="11"/>
      <c r="R890" s="11"/>
      <c r="S890" s="11"/>
      <c r="T890" s="11"/>
      <c r="U890" s="15"/>
      <c r="V890" s="11"/>
      <c r="W890" s="11"/>
      <c r="X890" s="11"/>
      <c r="Y890" s="11"/>
      <c r="Z890" s="11"/>
    </row>
    <row r="891">
      <c r="A891" s="18"/>
      <c r="B891" s="11"/>
      <c r="C891" s="11"/>
      <c r="D891" s="11"/>
      <c r="E891" s="11"/>
      <c r="F891" s="11"/>
      <c r="G891" s="11"/>
      <c r="H891" s="11"/>
      <c r="I891" s="11"/>
      <c r="J891" s="11"/>
      <c r="K891" s="11"/>
      <c r="L891" s="15"/>
      <c r="M891" s="15"/>
      <c r="N891" s="15"/>
      <c r="O891" s="15"/>
      <c r="P891" s="15"/>
      <c r="Q891" s="11"/>
      <c r="R891" s="11"/>
      <c r="S891" s="11"/>
      <c r="T891" s="11"/>
      <c r="U891" s="15"/>
      <c r="V891" s="11"/>
      <c r="W891" s="11"/>
      <c r="X891" s="11"/>
      <c r="Y891" s="11"/>
      <c r="Z891" s="11"/>
    </row>
    <row r="892">
      <c r="A892" s="18"/>
      <c r="B892" s="11"/>
      <c r="C892" s="11"/>
      <c r="D892" s="11"/>
      <c r="E892" s="11"/>
      <c r="F892" s="11"/>
      <c r="G892" s="11"/>
      <c r="H892" s="11"/>
      <c r="I892" s="11"/>
      <c r="J892" s="11"/>
      <c r="K892" s="11"/>
      <c r="L892" s="15"/>
      <c r="M892" s="15"/>
      <c r="N892" s="15"/>
      <c r="O892" s="15"/>
      <c r="P892" s="15"/>
      <c r="Q892" s="11"/>
      <c r="R892" s="11"/>
      <c r="S892" s="11"/>
      <c r="T892" s="11"/>
      <c r="U892" s="15"/>
      <c r="V892" s="11"/>
      <c r="W892" s="11"/>
      <c r="X892" s="11"/>
      <c r="Y892" s="11"/>
      <c r="Z892" s="11"/>
    </row>
    <row r="893">
      <c r="A893" s="18"/>
      <c r="B893" s="11"/>
      <c r="C893" s="11"/>
      <c r="D893" s="11"/>
      <c r="E893" s="11"/>
      <c r="F893" s="11"/>
      <c r="G893" s="11"/>
      <c r="H893" s="11"/>
      <c r="I893" s="11"/>
      <c r="J893" s="11"/>
      <c r="K893" s="11"/>
      <c r="L893" s="15"/>
      <c r="M893" s="15"/>
      <c r="N893" s="15"/>
      <c r="O893" s="15"/>
      <c r="P893" s="15"/>
      <c r="Q893" s="11"/>
      <c r="R893" s="11"/>
      <c r="S893" s="11"/>
      <c r="T893" s="11"/>
      <c r="U893" s="15"/>
      <c r="V893" s="11"/>
      <c r="W893" s="11"/>
      <c r="X893" s="11"/>
      <c r="Y893" s="11"/>
      <c r="Z893" s="11"/>
    </row>
    <row r="894">
      <c r="A894" s="18"/>
      <c r="B894" s="11"/>
      <c r="C894" s="11"/>
      <c r="D894" s="11"/>
      <c r="E894" s="11"/>
      <c r="F894" s="11"/>
      <c r="G894" s="11"/>
      <c r="H894" s="11"/>
      <c r="I894" s="11"/>
      <c r="J894" s="11"/>
      <c r="K894" s="11"/>
      <c r="L894" s="15"/>
      <c r="M894" s="15"/>
      <c r="N894" s="15"/>
      <c r="O894" s="15"/>
      <c r="P894" s="15"/>
      <c r="Q894" s="11"/>
      <c r="R894" s="11"/>
      <c r="S894" s="11"/>
      <c r="T894" s="11"/>
      <c r="U894" s="15"/>
      <c r="V894" s="11"/>
      <c r="W894" s="11"/>
      <c r="X894" s="11"/>
      <c r="Y894" s="11"/>
      <c r="Z894" s="11"/>
    </row>
    <row r="895">
      <c r="A895" s="18"/>
      <c r="B895" s="11"/>
      <c r="C895" s="11"/>
      <c r="D895" s="11"/>
      <c r="E895" s="11"/>
      <c r="F895" s="11"/>
      <c r="G895" s="11"/>
      <c r="H895" s="11"/>
      <c r="I895" s="11"/>
      <c r="J895" s="11"/>
      <c r="K895" s="11"/>
      <c r="L895" s="15"/>
      <c r="M895" s="15"/>
      <c r="N895" s="15"/>
      <c r="O895" s="15"/>
      <c r="P895" s="15"/>
      <c r="Q895" s="11"/>
      <c r="R895" s="11"/>
      <c r="S895" s="11"/>
      <c r="T895" s="11"/>
      <c r="U895" s="15"/>
      <c r="V895" s="11"/>
      <c r="W895" s="11"/>
      <c r="X895" s="11"/>
      <c r="Y895" s="11"/>
      <c r="Z895" s="11"/>
    </row>
    <row r="896">
      <c r="A896" s="18"/>
      <c r="B896" s="11"/>
      <c r="C896" s="11"/>
      <c r="D896" s="11"/>
      <c r="E896" s="11"/>
      <c r="F896" s="11"/>
      <c r="G896" s="11"/>
      <c r="H896" s="11"/>
      <c r="I896" s="11"/>
      <c r="J896" s="11"/>
      <c r="K896" s="11"/>
      <c r="L896" s="15"/>
      <c r="M896" s="15"/>
      <c r="N896" s="15"/>
      <c r="O896" s="15"/>
      <c r="P896" s="15"/>
      <c r="Q896" s="11"/>
      <c r="R896" s="11"/>
      <c r="S896" s="11"/>
      <c r="T896" s="11"/>
      <c r="U896" s="15"/>
      <c r="V896" s="11"/>
      <c r="W896" s="11"/>
      <c r="X896" s="11"/>
      <c r="Y896" s="11"/>
      <c r="Z896" s="11"/>
    </row>
    <row r="897">
      <c r="A897" s="18"/>
      <c r="B897" s="11"/>
      <c r="C897" s="11"/>
      <c r="D897" s="11"/>
      <c r="E897" s="11"/>
      <c r="F897" s="11"/>
      <c r="G897" s="11"/>
      <c r="H897" s="11"/>
      <c r="I897" s="11"/>
      <c r="J897" s="11"/>
      <c r="K897" s="11"/>
      <c r="L897" s="15"/>
      <c r="M897" s="15"/>
      <c r="N897" s="15"/>
      <c r="O897" s="15"/>
      <c r="P897" s="15"/>
      <c r="Q897" s="11"/>
      <c r="R897" s="11"/>
      <c r="S897" s="11"/>
      <c r="T897" s="11"/>
      <c r="U897" s="15"/>
      <c r="V897" s="11"/>
      <c r="W897" s="11"/>
      <c r="X897" s="11"/>
      <c r="Y897" s="11"/>
      <c r="Z897" s="11"/>
    </row>
    <row r="898">
      <c r="A898" s="18"/>
      <c r="B898" s="11"/>
      <c r="C898" s="11"/>
      <c r="D898" s="11"/>
      <c r="E898" s="11"/>
      <c r="F898" s="11"/>
      <c r="G898" s="11"/>
      <c r="H898" s="11"/>
      <c r="I898" s="11"/>
      <c r="J898" s="11"/>
      <c r="K898" s="11"/>
      <c r="L898" s="15"/>
      <c r="M898" s="15"/>
      <c r="N898" s="15"/>
      <c r="O898" s="15"/>
      <c r="P898" s="15"/>
      <c r="Q898" s="11"/>
      <c r="R898" s="11"/>
      <c r="S898" s="11"/>
      <c r="T898" s="11"/>
      <c r="U898" s="15"/>
      <c r="V898" s="11"/>
      <c r="W898" s="11"/>
      <c r="X898" s="11"/>
      <c r="Y898" s="11"/>
      <c r="Z898" s="11"/>
    </row>
    <row r="899">
      <c r="A899" s="18"/>
      <c r="B899" s="11"/>
      <c r="C899" s="11"/>
      <c r="D899" s="11"/>
      <c r="E899" s="11"/>
      <c r="F899" s="11"/>
      <c r="G899" s="11"/>
      <c r="H899" s="11"/>
      <c r="I899" s="11"/>
      <c r="J899" s="11"/>
      <c r="K899" s="11"/>
      <c r="L899" s="15"/>
      <c r="M899" s="15"/>
      <c r="N899" s="15"/>
      <c r="O899" s="15"/>
      <c r="P899" s="15"/>
      <c r="Q899" s="11"/>
      <c r="R899" s="11"/>
      <c r="S899" s="11"/>
      <c r="T899" s="11"/>
      <c r="U899" s="15"/>
      <c r="V899" s="11"/>
      <c r="W899" s="11"/>
      <c r="X899" s="11"/>
      <c r="Y899" s="11"/>
      <c r="Z899" s="11"/>
    </row>
    <row r="900">
      <c r="A900" s="18"/>
      <c r="B900" s="11"/>
      <c r="C900" s="11"/>
      <c r="D900" s="11"/>
      <c r="E900" s="11"/>
      <c r="F900" s="11"/>
      <c r="G900" s="11"/>
      <c r="H900" s="11"/>
      <c r="I900" s="11"/>
      <c r="J900" s="11"/>
      <c r="K900" s="11"/>
      <c r="L900" s="15"/>
      <c r="M900" s="15"/>
      <c r="N900" s="15"/>
      <c r="O900" s="15"/>
      <c r="P900" s="15"/>
      <c r="Q900" s="11"/>
      <c r="R900" s="11"/>
      <c r="S900" s="11"/>
      <c r="T900" s="11"/>
      <c r="U900" s="15"/>
      <c r="V900" s="11"/>
      <c r="W900" s="11"/>
      <c r="X900" s="11"/>
      <c r="Y900" s="11"/>
      <c r="Z900" s="11"/>
    </row>
    <row r="901">
      <c r="A901" s="18"/>
      <c r="B901" s="11"/>
      <c r="C901" s="11"/>
      <c r="D901" s="11"/>
      <c r="E901" s="11"/>
      <c r="F901" s="11"/>
      <c r="G901" s="11"/>
      <c r="H901" s="11"/>
      <c r="I901" s="11"/>
      <c r="J901" s="11"/>
      <c r="K901" s="11"/>
      <c r="L901" s="15"/>
      <c r="M901" s="15"/>
      <c r="N901" s="15"/>
      <c r="O901" s="15"/>
      <c r="P901" s="15"/>
      <c r="Q901" s="11"/>
      <c r="R901" s="11"/>
      <c r="S901" s="11"/>
      <c r="T901" s="11"/>
      <c r="U901" s="15"/>
      <c r="V901" s="11"/>
      <c r="W901" s="11"/>
      <c r="X901" s="11"/>
      <c r="Y901" s="11"/>
      <c r="Z901" s="11"/>
    </row>
    <row r="902">
      <c r="A902" s="18"/>
      <c r="B902" s="11"/>
      <c r="C902" s="11"/>
      <c r="D902" s="11"/>
      <c r="E902" s="11"/>
      <c r="F902" s="11"/>
      <c r="G902" s="11"/>
      <c r="H902" s="11"/>
      <c r="I902" s="11"/>
      <c r="J902" s="11"/>
      <c r="K902" s="11"/>
      <c r="L902" s="15"/>
      <c r="M902" s="15"/>
      <c r="N902" s="15"/>
      <c r="O902" s="15"/>
      <c r="P902" s="15"/>
      <c r="Q902" s="11"/>
      <c r="R902" s="11"/>
      <c r="S902" s="11"/>
      <c r="T902" s="11"/>
      <c r="U902" s="15"/>
      <c r="V902" s="11"/>
      <c r="W902" s="11"/>
      <c r="X902" s="11"/>
      <c r="Y902" s="11"/>
      <c r="Z902" s="11"/>
    </row>
    <row r="903">
      <c r="A903" s="18"/>
      <c r="B903" s="11"/>
      <c r="C903" s="11"/>
      <c r="D903" s="11"/>
      <c r="E903" s="11"/>
      <c r="F903" s="11"/>
      <c r="G903" s="11"/>
      <c r="H903" s="11"/>
      <c r="I903" s="11"/>
      <c r="J903" s="11"/>
      <c r="K903" s="11"/>
      <c r="L903" s="15"/>
      <c r="M903" s="15"/>
      <c r="N903" s="15"/>
      <c r="O903" s="15"/>
      <c r="P903" s="15"/>
      <c r="Q903" s="11"/>
      <c r="R903" s="11"/>
      <c r="S903" s="11"/>
      <c r="T903" s="11"/>
      <c r="U903" s="15"/>
      <c r="V903" s="11"/>
      <c r="W903" s="11"/>
      <c r="X903" s="11"/>
      <c r="Y903" s="11"/>
      <c r="Z903" s="11"/>
    </row>
    <row r="904">
      <c r="A904" s="18"/>
      <c r="B904" s="11"/>
      <c r="C904" s="11"/>
      <c r="D904" s="11"/>
      <c r="E904" s="11"/>
      <c r="F904" s="11"/>
      <c r="G904" s="11"/>
      <c r="H904" s="11"/>
      <c r="I904" s="11"/>
      <c r="J904" s="11"/>
      <c r="K904" s="11"/>
      <c r="L904" s="15"/>
      <c r="M904" s="15"/>
      <c r="N904" s="15"/>
      <c r="O904" s="15"/>
      <c r="P904" s="15"/>
      <c r="Q904" s="11"/>
      <c r="R904" s="11"/>
      <c r="S904" s="11"/>
      <c r="T904" s="11"/>
      <c r="U904" s="15"/>
      <c r="V904" s="11"/>
      <c r="W904" s="11"/>
      <c r="X904" s="11"/>
      <c r="Y904" s="11"/>
      <c r="Z904" s="11"/>
    </row>
    <row r="905">
      <c r="A905" s="18"/>
      <c r="B905" s="11"/>
      <c r="C905" s="11"/>
      <c r="D905" s="11"/>
      <c r="E905" s="11"/>
      <c r="F905" s="11"/>
      <c r="G905" s="11"/>
      <c r="H905" s="11"/>
      <c r="I905" s="11"/>
      <c r="J905" s="11"/>
      <c r="K905" s="11"/>
      <c r="L905" s="15"/>
      <c r="M905" s="15"/>
      <c r="N905" s="15"/>
      <c r="O905" s="15"/>
      <c r="P905" s="15"/>
      <c r="Q905" s="11"/>
      <c r="R905" s="11"/>
      <c r="S905" s="11"/>
      <c r="T905" s="11"/>
      <c r="U905" s="15"/>
      <c r="V905" s="11"/>
      <c r="W905" s="11"/>
      <c r="X905" s="11"/>
      <c r="Y905" s="11"/>
      <c r="Z905" s="11"/>
    </row>
    <row r="906">
      <c r="A906" s="18"/>
      <c r="B906" s="11"/>
      <c r="C906" s="11"/>
      <c r="D906" s="11"/>
      <c r="E906" s="11"/>
      <c r="F906" s="11"/>
      <c r="G906" s="11"/>
      <c r="H906" s="11"/>
      <c r="I906" s="11"/>
      <c r="J906" s="11"/>
      <c r="K906" s="11"/>
      <c r="L906" s="15"/>
      <c r="M906" s="15"/>
      <c r="N906" s="15"/>
      <c r="O906" s="15"/>
      <c r="P906" s="15"/>
      <c r="Q906" s="11"/>
      <c r="R906" s="11"/>
      <c r="S906" s="11"/>
      <c r="T906" s="11"/>
      <c r="U906" s="15"/>
      <c r="V906" s="11"/>
      <c r="W906" s="11"/>
      <c r="X906" s="11"/>
      <c r="Y906" s="11"/>
      <c r="Z906" s="11"/>
    </row>
    <row r="907">
      <c r="A907" s="18"/>
      <c r="B907" s="11"/>
      <c r="C907" s="11"/>
      <c r="D907" s="11"/>
      <c r="E907" s="11"/>
      <c r="F907" s="11"/>
      <c r="G907" s="11"/>
      <c r="H907" s="11"/>
      <c r="I907" s="11"/>
      <c r="J907" s="11"/>
      <c r="K907" s="11"/>
      <c r="L907" s="15"/>
      <c r="M907" s="15"/>
      <c r="N907" s="15"/>
      <c r="O907" s="15"/>
      <c r="P907" s="15"/>
      <c r="Q907" s="11"/>
      <c r="R907" s="11"/>
      <c r="S907" s="11"/>
      <c r="T907" s="11"/>
      <c r="U907" s="15"/>
      <c r="V907" s="11"/>
      <c r="W907" s="11"/>
      <c r="X907" s="11"/>
      <c r="Y907" s="11"/>
      <c r="Z907" s="11"/>
    </row>
    <row r="908">
      <c r="A908" s="18"/>
      <c r="B908" s="11"/>
      <c r="C908" s="11"/>
      <c r="D908" s="11"/>
      <c r="E908" s="11"/>
      <c r="F908" s="11"/>
      <c r="G908" s="11"/>
      <c r="H908" s="11"/>
      <c r="I908" s="11"/>
      <c r="J908" s="11"/>
      <c r="K908" s="11"/>
      <c r="L908" s="15"/>
      <c r="M908" s="15"/>
      <c r="N908" s="15"/>
      <c r="O908" s="15"/>
      <c r="P908" s="15"/>
      <c r="Q908" s="11"/>
      <c r="R908" s="11"/>
      <c r="S908" s="11"/>
      <c r="T908" s="11"/>
      <c r="U908" s="15"/>
      <c r="V908" s="11"/>
      <c r="W908" s="11"/>
      <c r="X908" s="11"/>
      <c r="Y908" s="11"/>
      <c r="Z908" s="11"/>
    </row>
    <row r="909">
      <c r="A909" s="18"/>
      <c r="B909" s="11"/>
      <c r="C909" s="11"/>
      <c r="D909" s="11"/>
      <c r="E909" s="11"/>
      <c r="F909" s="11"/>
      <c r="G909" s="11"/>
      <c r="H909" s="11"/>
      <c r="I909" s="11"/>
      <c r="J909" s="11"/>
      <c r="K909" s="11"/>
      <c r="L909" s="15"/>
      <c r="M909" s="15"/>
      <c r="N909" s="15"/>
      <c r="O909" s="15"/>
      <c r="P909" s="15"/>
      <c r="Q909" s="11"/>
      <c r="R909" s="11"/>
      <c r="S909" s="11"/>
      <c r="T909" s="11"/>
      <c r="U909" s="15"/>
      <c r="V909" s="11"/>
      <c r="W909" s="11"/>
      <c r="X909" s="11"/>
      <c r="Y909" s="11"/>
      <c r="Z909" s="11"/>
    </row>
    <row r="910">
      <c r="A910" s="18"/>
      <c r="B910" s="11"/>
      <c r="C910" s="11"/>
      <c r="D910" s="11"/>
      <c r="E910" s="11"/>
      <c r="F910" s="11"/>
      <c r="G910" s="11"/>
      <c r="H910" s="11"/>
      <c r="I910" s="11"/>
      <c r="J910" s="11"/>
      <c r="K910" s="11"/>
      <c r="L910" s="15"/>
      <c r="M910" s="15"/>
      <c r="N910" s="15"/>
      <c r="O910" s="15"/>
      <c r="P910" s="15"/>
      <c r="Q910" s="11"/>
      <c r="R910" s="11"/>
      <c r="S910" s="11"/>
      <c r="T910" s="11"/>
      <c r="U910" s="15"/>
      <c r="V910" s="11"/>
      <c r="W910" s="11"/>
      <c r="X910" s="11"/>
      <c r="Y910" s="11"/>
      <c r="Z910" s="11"/>
    </row>
    <row r="911">
      <c r="A911" s="18"/>
      <c r="B911" s="11"/>
      <c r="C911" s="11"/>
      <c r="D911" s="11"/>
      <c r="E911" s="11"/>
      <c r="F911" s="11"/>
      <c r="G911" s="11"/>
      <c r="H911" s="11"/>
      <c r="I911" s="11"/>
      <c r="J911" s="11"/>
      <c r="K911" s="11"/>
      <c r="L911" s="15"/>
      <c r="M911" s="15"/>
      <c r="N911" s="15"/>
      <c r="O911" s="15"/>
      <c r="P911" s="15"/>
      <c r="Q911" s="11"/>
      <c r="R911" s="11"/>
      <c r="S911" s="11"/>
      <c r="T911" s="11"/>
      <c r="U911" s="15"/>
      <c r="V911" s="11"/>
      <c r="W911" s="11"/>
      <c r="X911" s="11"/>
      <c r="Y911" s="11"/>
      <c r="Z911" s="11"/>
    </row>
    <row r="912">
      <c r="A912" s="18"/>
      <c r="B912" s="11"/>
      <c r="C912" s="11"/>
      <c r="D912" s="11"/>
      <c r="E912" s="11"/>
      <c r="F912" s="11"/>
      <c r="G912" s="11"/>
      <c r="H912" s="11"/>
      <c r="I912" s="11"/>
      <c r="J912" s="11"/>
      <c r="K912" s="11"/>
      <c r="L912" s="15"/>
      <c r="M912" s="15"/>
      <c r="N912" s="15"/>
      <c r="O912" s="15"/>
      <c r="P912" s="15"/>
      <c r="Q912" s="11"/>
      <c r="R912" s="11"/>
      <c r="S912" s="11"/>
      <c r="T912" s="11"/>
      <c r="U912" s="15"/>
      <c r="V912" s="11"/>
      <c r="W912" s="11"/>
      <c r="X912" s="11"/>
      <c r="Y912" s="11"/>
      <c r="Z912" s="11"/>
    </row>
    <row r="913">
      <c r="A913" s="18"/>
      <c r="B913" s="11"/>
      <c r="C913" s="11"/>
      <c r="D913" s="11"/>
      <c r="E913" s="11"/>
      <c r="F913" s="11"/>
      <c r="G913" s="11"/>
      <c r="H913" s="11"/>
      <c r="I913" s="11"/>
      <c r="J913" s="11"/>
      <c r="K913" s="11"/>
      <c r="L913" s="15"/>
      <c r="M913" s="15"/>
      <c r="N913" s="15"/>
      <c r="O913" s="15"/>
      <c r="P913" s="15"/>
      <c r="Q913" s="11"/>
      <c r="R913" s="11"/>
      <c r="S913" s="11"/>
      <c r="T913" s="11"/>
      <c r="U913" s="15"/>
      <c r="V913" s="11"/>
      <c r="W913" s="11"/>
      <c r="X913" s="11"/>
      <c r="Y913" s="11"/>
      <c r="Z913" s="11"/>
    </row>
    <row r="914">
      <c r="A914" s="18"/>
      <c r="B914" s="11"/>
      <c r="C914" s="11"/>
      <c r="D914" s="11"/>
      <c r="E914" s="11"/>
      <c r="F914" s="11"/>
      <c r="G914" s="11"/>
      <c r="H914" s="11"/>
      <c r="I914" s="11"/>
      <c r="J914" s="11"/>
      <c r="K914" s="11"/>
      <c r="L914" s="15"/>
      <c r="M914" s="15"/>
      <c r="N914" s="15"/>
      <c r="O914" s="15"/>
      <c r="P914" s="15"/>
      <c r="Q914" s="11"/>
      <c r="R914" s="11"/>
      <c r="S914" s="11"/>
      <c r="T914" s="11"/>
      <c r="U914" s="15"/>
      <c r="V914" s="11"/>
      <c r="W914" s="11"/>
      <c r="X914" s="11"/>
      <c r="Y914" s="11"/>
      <c r="Z914" s="11"/>
    </row>
    <row r="915">
      <c r="A915" s="18"/>
      <c r="B915" s="11"/>
      <c r="C915" s="11"/>
      <c r="D915" s="11"/>
      <c r="E915" s="11"/>
      <c r="F915" s="11"/>
      <c r="G915" s="11"/>
      <c r="H915" s="11"/>
      <c r="I915" s="11"/>
      <c r="J915" s="11"/>
      <c r="K915" s="11"/>
      <c r="L915" s="15"/>
      <c r="M915" s="15"/>
      <c r="N915" s="15"/>
      <c r="O915" s="15"/>
      <c r="P915" s="15"/>
      <c r="Q915" s="11"/>
      <c r="R915" s="11"/>
      <c r="S915" s="11"/>
      <c r="T915" s="11"/>
      <c r="U915" s="15"/>
      <c r="V915" s="11"/>
      <c r="W915" s="11"/>
      <c r="X915" s="11"/>
      <c r="Y915" s="11"/>
      <c r="Z915" s="11"/>
    </row>
    <row r="916">
      <c r="A916" s="18"/>
      <c r="B916" s="11"/>
      <c r="C916" s="11"/>
      <c r="D916" s="11"/>
      <c r="E916" s="11"/>
      <c r="F916" s="11"/>
      <c r="G916" s="11"/>
      <c r="H916" s="11"/>
      <c r="I916" s="11"/>
      <c r="J916" s="11"/>
      <c r="K916" s="11"/>
      <c r="L916" s="15"/>
      <c r="M916" s="15"/>
      <c r="N916" s="15"/>
      <c r="O916" s="15"/>
      <c r="P916" s="15"/>
      <c r="Q916" s="11"/>
      <c r="R916" s="11"/>
      <c r="S916" s="11"/>
      <c r="T916" s="11"/>
      <c r="U916" s="15"/>
      <c r="V916" s="11"/>
      <c r="W916" s="11"/>
      <c r="X916" s="11"/>
      <c r="Y916" s="11"/>
      <c r="Z916" s="11"/>
    </row>
    <row r="917">
      <c r="A917" s="18"/>
      <c r="B917" s="11"/>
      <c r="C917" s="11"/>
      <c r="D917" s="11"/>
      <c r="E917" s="11"/>
      <c r="F917" s="11"/>
      <c r="G917" s="11"/>
      <c r="H917" s="11"/>
      <c r="I917" s="11"/>
      <c r="J917" s="11"/>
      <c r="K917" s="11"/>
      <c r="L917" s="15"/>
      <c r="M917" s="15"/>
      <c r="N917" s="15"/>
      <c r="O917" s="15"/>
      <c r="P917" s="15"/>
      <c r="Q917" s="11"/>
      <c r="R917" s="11"/>
      <c r="S917" s="11"/>
      <c r="T917" s="11"/>
      <c r="U917" s="15"/>
      <c r="V917" s="11"/>
      <c r="W917" s="11"/>
      <c r="X917" s="11"/>
      <c r="Y917" s="11"/>
      <c r="Z917" s="11"/>
    </row>
    <row r="918">
      <c r="A918" s="18"/>
      <c r="B918" s="11"/>
      <c r="C918" s="11"/>
      <c r="D918" s="11"/>
      <c r="E918" s="11"/>
      <c r="F918" s="11"/>
      <c r="G918" s="11"/>
      <c r="H918" s="11"/>
      <c r="I918" s="11"/>
      <c r="J918" s="11"/>
      <c r="K918" s="11"/>
      <c r="L918" s="15"/>
      <c r="M918" s="15"/>
      <c r="N918" s="15"/>
      <c r="O918" s="15"/>
      <c r="P918" s="15"/>
      <c r="Q918" s="11"/>
      <c r="R918" s="11"/>
      <c r="S918" s="11"/>
      <c r="T918" s="11"/>
      <c r="U918" s="15"/>
      <c r="V918" s="11"/>
      <c r="W918" s="11"/>
      <c r="X918" s="11"/>
      <c r="Y918" s="11"/>
      <c r="Z918" s="11"/>
    </row>
    <row r="919">
      <c r="A919" s="18"/>
      <c r="B919" s="11"/>
      <c r="C919" s="11"/>
      <c r="D919" s="11"/>
      <c r="E919" s="11"/>
      <c r="F919" s="11"/>
      <c r="G919" s="11"/>
      <c r="H919" s="11"/>
      <c r="I919" s="11"/>
      <c r="J919" s="11"/>
      <c r="K919" s="11"/>
      <c r="L919" s="15"/>
      <c r="M919" s="15"/>
      <c r="N919" s="15"/>
      <c r="O919" s="15"/>
      <c r="P919" s="15"/>
      <c r="Q919" s="11"/>
      <c r="R919" s="11"/>
      <c r="S919" s="11"/>
      <c r="T919" s="11"/>
      <c r="U919" s="15"/>
      <c r="V919" s="11"/>
      <c r="W919" s="11"/>
      <c r="X919" s="11"/>
      <c r="Y919" s="11"/>
      <c r="Z919" s="11"/>
    </row>
    <row r="920">
      <c r="A920" s="18"/>
      <c r="B920" s="11"/>
      <c r="C920" s="11"/>
      <c r="D920" s="11"/>
      <c r="E920" s="11"/>
      <c r="F920" s="11"/>
      <c r="G920" s="11"/>
      <c r="H920" s="11"/>
      <c r="I920" s="11"/>
      <c r="J920" s="11"/>
      <c r="K920" s="11"/>
      <c r="L920" s="15"/>
      <c r="M920" s="15"/>
      <c r="N920" s="15"/>
      <c r="O920" s="15"/>
      <c r="P920" s="15"/>
      <c r="Q920" s="11"/>
      <c r="R920" s="11"/>
      <c r="S920" s="11"/>
      <c r="T920" s="11"/>
      <c r="U920" s="15"/>
      <c r="V920" s="11"/>
      <c r="W920" s="11"/>
      <c r="X920" s="11"/>
      <c r="Y920" s="11"/>
      <c r="Z920" s="11"/>
    </row>
    <row r="921">
      <c r="A921" s="18"/>
      <c r="B921" s="11"/>
      <c r="C921" s="11"/>
      <c r="D921" s="11"/>
      <c r="E921" s="11"/>
      <c r="F921" s="11"/>
      <c r="G921" s="11"/>
      <c r="H921" s="11"/>
      <c r="I921" s="11"/>
      <c r="J921" s="11"/>
      <c r="K921" s="11"/>
      <c r="L921" s="15"/>
      <c r="M921" s="15"/>
      <c r="N921" s="15"/>
      <c r="O921" s="15"/>
      <c r="P921" s="15"/>
      <c r="Q921" s="11"/>
      <c r="R921" s="11"/>
      <c r="S921" s="11"/>
      <c r="T921" s="11"/>
      <c r="U921" s="15"/>
      <c r="V921" s="11"/>
      <c r="W921" s="11"/>
      <c r="X921" s="11"/>
      <c r="Y921" s="11"/>
      <c r="Z921" s="11"/>
    </row>
    <row r="922">
      <c r="A922" s="18"/>
      <c r="B922" s="11"/>
      <c r="C922" s="11"/>
      <c r="D922" s="11"/>
      <c r="E922" s="11"/>
      <c r="F922" s="11"/>
      <c r="G922" s="11"/>
      <c r="H922" s="11"/>
      <c r="I922" s="11"/>
      <c r="J922" s="11"/>
      <c r="K922" s="11"/>
      <c r="L922" s="15"/>
      <c r="M922" s="15"/>
      <c r="N922" s="15"/>
      <c r="O922" s="15"/>
      <c r="P922" s="15"/>
      <c r="Q922" s="11"/>
      <c r="R922" s="11"/>
      <c r="S922" s="11"/>
      <c r="T922" s="11"/>
      <c r="U922" s="15"/>
      <c r="V922" s="11"/>
      <c r="W922" s="11"/>
      <c r="X922" s="11"/>
      <c r="Y922" s="11"/>
      <c r="Z922" s="11"/>
    </row>
    <row r="923">
      <c r="A923" s="18"/>
      <c r="B923" s="11"/>
      <c r="C923" s="11"/>
      <c r="D923" s="11"/>
      <c r="E923" s="11"/>
      <c r="F923" s="11"/>
      <c r="G923" s="11"/>
      <c r="H923" s="11"/>
      <c r="I923" s="11"/>
      <c r="J923" s="11"/>
      <c r="K923" s="11"/>
      <c r="L923" s="15"/>
      <c r="M923" s="15"/>
      <c r="N923" s="15"/>
      <c r="O923" s="15"/>
      <c r="P923" s="15"/>
      <c r="Q923" s="11"/>
      <c r="R923" s="11"/>
      <c r="S923" s="11"/>
      <c r="T923" s="11"/>
      <c r="U923" s="15"/>
      <c r="V923" s="11"/>
      <c r="W923" s="11"/>
      <c r="X923" s="11"/>
      <c r="Y923" s="11"/>
      <c r="Z923" s="11"/>
    </row>
    <row r="924">
      <c r="A924" s="18"/>
      <c r="B924" s="11"/>
      <c r="C924" s="11"/>
      <c r="D924" s="11"/>
      <c r="E924" s="11"/>
      <c r="F924" s="11"/>
      <c r="G924" s="11"/>
      <c r="H924" s="11"/>
      <c r="I924" s="11"/>
      <c r="J924" s="11"/>
      <c r="K924" s="11"/>
      <c r="L924" s="15"/>
      <c r="M924" s="15"/>
      <c r="N924" s="15"/>
      <c r="O924" s="15"/>
      <c r="P924" s="15"/>
      <c r="Q924" s="11"/>
      <c r="R924" s="11"/>
      <c r="S924" s="11"/>
      <c r="T924" s="11"/>
      <c r="U924" s="15"/>
      <c r="V924" s="11"/>
      <c r="W924" s="11"/>
      <c r="X924" s="11"/>
      <c r="Y924" s="11"/>
      <c r="Z924" s="11"/>
    </row>
    <row r="925">
      <c r="A925" s="18"/>
      <c r="B925" s="11"/>
      <c r="C925" s="11"/>
      <c r="D925" s="11"/>
      <c r="E925" s="11"/>
      <c r="F925" s="11"/>
      <c r="G925" s="11"/>
      <c r="H925" s="11"/>
      <c r="I925" s="11"/>
      <c r="J925" s="11"/>
      <c r="K925" s="11"/>
      <c r="L925" s="15"/>
      <c r="M925" s="15"/>
      <c r="N925" s="15"/>
      <c r="O925" s="15"/>
      <c r="P925" s="15"/>
      <c r="Q925" s="11"/>
      <c r="R925" s="11"/>
      <c r="S925" s="11"/>
      <c r="T925" s="11"/>
      <c r="U925" s="15"/>
      <c r="V925" s="11"/>
      <c r="W925" s="11"/>
      <c r="X925" s="11"/>
      <c r="Y925" s="11"/>
      <c r="Z925" s="11"/>
    </row>
    <row r="926">
      <c r="A926" s="18"/>
      <c r="B926" s="11"/>
      <c r="C926" s="11"/>
      <c r="D926" s="11"/>
      <c r="E926" s="11"/>
      <c r="F926" s="11"/>
      <c r="G926" s="11"/>
      <c r="H926" s="11"/>
      <c r="I926" s="11"/>
      <c r="J926" s="11"/>
      <c r="K926" s="11"/>
      <c r="L926" s="15"/>
      <c r="M926" s="15"/>
      <c r="N926" s="15"/>
      <c r="O926" s="15"/>
      <c r="P926" s="15"/>
      <c r="Q926" s="11"/>
      <c r="R926" s="11"/>
      <c r="S926" s="11"/>
      <c r="T926" s="11"/>
      <c r="U926" s="15"/>
      <c r="V926" s="11"/>
      <c r="W926" s="11"/>
      <c r="X926" s="11"/>
      <c r="Y926" s="11"/>
      <c r="Z926" s="11"/>
    </row>
    <row r="927">
      <c r="A927" s="18"/>
      <c r="B927" s="11"/>
      <c r="C927" s="11"/>
      <c r="D927" s="11"/>
      <c r="E927" s="11"/>
      <c r="F927" s="11"/>
      <c r="G927" s="11"/>
      <c r="H927" s="11"/>
      <c r="I927" s="11"/>
      <c r="J927" s="11"/>
      <c r="K927" s="11"/>
      <c r="L927" s="15"/>
      <c r="M927" s="15"/>
      <c r="N927" s="15"/>
      <c r="O927" s="15"/>
      <c r="P927" s="15"/>
      <c r="Q927" s="11"/>
      <c r="R927" s="11"/>
      <c r="S927" s="11"/>
      <c r="T927" s="11"/>
      <c r="U927" s="15"/>
      <c r="V927" s="11"/>
      <c r="W927" s="11"/>
      <c r="X927" s="11"/>
      <c r="Y927" s="11"/>
      <c r="Z927" s="11"/>
    </row>
    <row r="928">
      <c r="A928" s="18"/>
      <c r="B928" s="11"/>
      <c r="C928" s="11"/>
      <c r="D928" s="11"/>
      <c r="E928" s="11"/>
      <c r="F928" s="11"/>
      <c r="G928" s="11"/>
      <c r="H928" s="11"/>
      <c r="I928" s="11"/>
      <c r="J928" s="11"/>
      <c r="K928" s="11"/>
      <c r="L928" s="15"/>
      <c r="M928" s="15"/>
      <c r="N928" s="15"/>
      <c r="O928" s="15"/>
      <c r="P928" s="15"/>
      <c r="Q928" s="11"/>
      <c r="R928" s="11"/>
      <c r="S928" s="11"/>
      <c r="T928" s="11"/>
      <c r="U928" s="15"/>
      <c r="V928" s="11"/>
      <c r="W928" s="11"/>
      <c r="X928" s="11"/>
      <c r="Y928" s="11"/>
      <c r="Z928" s="11"/>
    </row>
    <row r="929">
      <c r="A929" s="18"/>
      <c r="B929" s="11"/>
      <c r="C929" s="11"/>
      <c r="D929" s="11"/>
      <c r="E929" s="11"/>
      <c r="F929" s="11"/>
      <c r="G929" s="11"/>
      <c r="H929" s="11"/>
      <c r="I929" s="11"/>
      <c r="J929" s="11"/>
      <c r="K929" s="11"/>
      <c r="L929" s="15"/>
      <c r="M929" s="15"/>
      <c r="N929" s="15"/>
      <c r="O929" s="15"/>
      <c r="P929" s="15"/>
      <c r="Q929" s="11"/>
      <c r="R929" s="11"/>
      <c r="S929" s="11"/>
      <c r="T929" s="11"/>
      <c r="U929" s="15"/>
      <c r="V929" s="11"/>
      <c r="W929" s="11"/>
      <c r="X929" s="11"/>
      <c r="Y929" s="11"/>
      <c r="Z929" s="11"/>
    </row>
    <row r="930">
      <c r="A930" s="18"/>
      <c r="B930" s="11"/>
      <c r="C930" s="11"/>
      <c r="D930" s="11"/>
      <c r="E930" s="11"/>
      <c r="F930" s="11"/>
      <c r="G930" s="11"/>
      <c r="H930" s="11"/>
      <c r="I930" s="11"/>
      <c r="J930" s="11"/>
      <c r="K930" s="11"/>
      <c r="L930" s="15"/>
      <c r="M930" s="15"/>
      <c r="N930" s="15"/>
      <c r="O930" s="15"/>
      <c r="P930" s="15"/>
      <c r="Q930" s="11"/>
      <c r="R930" s="11"/>
      <c r="S930" s="11"/>
      <c r="T930" s="11"/>
      <c r="U930" s="15"/>
      <c r="V930" s="11"/>
      <c r="W930" s="11"/>
      <c r="X930" s="11"/>
      <c r="Y930" s="11"/>
      <c r="Z930" s="11"/>
    </row>
    <row r="931">
      <c r="A931" s="18"/>
      <c r="B931" s="11"/>
      <c r="C931" s="11"/>
      <c r="D931" s="11"/>
      <c r="E931" s="11"/>
      <c r="F931" s="11"/>
      <c r="G931" s="11"/>
      <c r="H931" s="11"/>
      <c r="I931" s="11"/>
      <c r="J931" s="11"/>
      <c r="K931" s="11"/>
      <c r="L931" s="15"/>
      <c r="M931" s="15"/>
      <c r="N931" s="15"/>
      <c r="O931" s="15"/>
      <c r="P931" s="15"/>
      <c r="Q931" s="11"/>
      <c r="R931" s="11"/>
      <c r="S931" s="11"/>
      <c r="T931" s="11"/>
      <c r="U931" s="15"/>
      <c r="V931" s="11"/>
      <c r="W931" s="11"/>
      <c r="X931" s="11"/>
      <c r="Y931" s="11"/>
      <c r="Z931" s="11"/>
    </row>
    <row r="932">
      <c r="A932" s="18"/>
      <c r="B932" s="11"/>
      <c r="C932" s="11"/>
      <c r="D932" s="11"/>
      <c r="E932" s="11"/>
      <c r="F932" s="11"/>
      <c r="G932" s="11"/>
      <c r="H932" s="11"/>
      <c r="I932" s="11"/>
      <c r="J932" s="11"/>
      <c r="K932" s="11"/>
      <c r="L932" s="15"/>
      <c r="M932" s="15"/>
      <c r="N932" s="15"/>
      <c r="O932" s="15"/>
      <c r="P932" s="15"/>
      <c r="Q932" s="11"/>
      <c r="R932" s="11"/>
      <c r="S932" s="11"/>
      <c r="T932" s="11"/>
      <c r="U932" s="15"/>
      <c r="V932" s="11"/>
      <c r="W932" s="11"/>
      <c r="X932" s="11"/>
      <c r="Y932" s="11"/>
      <c r="Z932" s="11"/>
    </row>
    <row r="933">
      <c r="A933" s="18"/>
      <c r="B933" s="11"/>
      <c r="C933" s="11"/>
      <c r="D933" s="11"/>
      <c r="E933" s="11"/>
      <c r="F933" s="11"/>
      <c r="G933" s="11"/>
      <c r="H933" s="11"/>
      <c r="I933" s="11"/>
      <c r="J933" s="11"/>
      <c r="K933" s="11"/>
      <c r="L933" s="15"/>
      <c r="M933" s="15"/>
      <c r="N933" s="15"/>
      <c r="O933" s="15"/>
      <c r="P933" s="15"/>
      <c r="Q933" s="11"/>
      <c r="R933" s="11"/>
      <c r="S933" s="11"/>
      <c r="T933" s="11"/>
      <c r="U933" s="15"/>
      <c r="V933" s="11"/>
      <c r="W933" s="11"/>
      <c r="X933" s="11"/>
      <c r="Y933" s="11"/>
      <c r="Z933" s="11"/>
    </row>
    <row r="934">
      <c r="A934" s="18"/>
      <c r="B934" s="11"/>
      <c r="C934" s="11"/>
      <c r="D934" s="11"/>
      <c r="E934" s="11"/>
      <c r="F934" s="11"/>
      <c r="G934" s="11"/>
      <c r="H934" s="11"/>
      <c r="I934" s="11"/>
      <c r="J934" s="11"/>
      <c r="K934" s="11"/>
      <c r="L934" s="15"/>
      <c r="M934" s="15"/>
      <c r="N934" s="15"/>
      <c r="O934" s="15"/>
      <c r="P934" s="15"/>
      <c r="Q934" s="11"/>
      <c r="R934" s="11"/>
      <c r="S934" s="11"/>
      <c r="T934" s="11"/>
      <c r="U934" s="15"/>
      <c r="V934" s="11"/>
      <c r="W934" s="11"/>
      <c r="X934" s="11"/>
      <c r="Y934" s="11"/>
      <c r="Z934" s="11"/>
    </row>
    <row r="935">
      <c r="A935" s="18"/>
      <c r="B935" s="11"/>
      <c r="C935" s="11"/>
      <c r="D935" s="11"/>
      <c r="E935" s="11"/>
      <c r="F935" s="11"/>
      <c r="G935" s="11"/>
      <c r="H935" s="11"/>
      <c r="I935" s="11"/>
      <c r="J935" s="11"/>
      <c r="K935" s="11"/>
      <c r="L935" s="15"/>
      <c r="M935" s="15"/>
      <c r="N935" s="15"/>
      <c r="O935" s="15"/>
      <c r="P935" s="15"/>
      <c r="Q935" s="11"/>
      <c r="R935" s="11"/>
      <c r="S935" s="11"/>
      <c r="T935" s="11"/>
      <c r="U935" s="15"/>
      <c r="V935" s="11"/>
      <c r="W935" s="11"/>
      <c r="X935" s="11"/>
      <c r="Y935" s="11"/>
      <c r="Z935" s="11"/>
    </row>
    <row r="936">
      <c r="A936" s="18"/>
      <c r="B936" s="11"/>
      <c r="C936" s="11"/>
      <c r="D936" s="11"/>
      <c r="E936" s="11"/>
      <c r="F936" s="11"/>
      <c r="G936" s="11"/>
      <c r="H936" s="11"/>
      <c r="I936" s="11"/>
      <c r="J936" s="11"/>
      <c r="K936" s="11"/>
      <c r="L936" s="15"/>
      <c r="M936" s="15"/>
      <c r="N936" s="15"/>
      <c r="O936" s="15"/>
      <c r="P936" s="15"/>
      <c r="Q936" s="11"/>
      <c r="R936" s="11"/>
      <c r="S936" s="11"/>
      <c r="T936" s="11"/>
      <c r="U936" s="15"/>
      <c r="V936" s="11"/>
      <c r="W936" s="11"/>
      <c r="X936" s="11"/>
      <c r="Y936" s="11"/>
      <c r="Z936" s="11"/>
    </row>
    <row r="937">
      <c r="A937" s="18"/>
      <c r="B937" s="11"/>
      <c r="C937" s="11"/>
      <c r="D937" s="11"/>
      <c r="E937" s="11"/>
      <c r="F937" s="11"/>
      <c r="G937" s="11"/>
      <c r="H937" s="11"/>
      <c r="I937" s="11"/>
      <c r="J937" s="11"/>
      <c r="K937" s="11"/>
      <c r="L937" s="15"/>
      <c r="M937" s="15"/>
      <c r="N937" s="15"/>
      <c r="O937" s="15"/>
      <c r="P937" s="15"/>
      <c r="Q937" s="11"/>
      <c r="R937" s="11"/>
      <c r="S937" s="11"/>
      <c r="T937" s="11"/>
      <c r="U937" s="15"/>
      <c r="V937" s="11"/>
      <c r="W937" s="11"/>
      <c r="X937" s="11"/>
      <c r="Y937" s="11"/>
      <c r="Z937" s="11"/>
    </row>
    <row r="938">
      <c r="A938" s="18"/>
      <c r="B938" s="11"/>
      <c r="C938" s="11"/>
      <c r="D938" s="11"/>
      <c r="E938" s="11"/>
      <c r="F938" s="11"/>
      <c r="G938" s="11"/>
      <c r="H938" s="11"/>
      <c r="I938" s="11"/>
      <c r="J938" s="11"/>
      <c r="K938" s="11"/>
      <c r="L938" s="15"/>
      <c r="M938" s="15"/>
      <c r="N938" s="15"/>
      <c r="O938" s="15"/>
      <c r="P938" s="15"/>
      <c r="Q938" s="11"/>
      <c r="R938" s="11"/>
      <c r="S938" s="11"/>
      <c r="T938" s="11"/>
      <c r="U938" s="15"/>
      <c r="V938" s="11"/>
      <c r="W938" s="11"/>
      <c r="X938" s="11"/>
      <c r="Y938" s="11"/>
      <c r="Z938" s="11"/>
    </row>
    <row r="939">
      <c r="A939" s="18"/>
      <c r="B939" s="11"/>
      <c r="C939" s="11"/>
      <c r="D939" s="11"/>
      <c r="E939" s="11"/>
      <c r="F939" s="11"/>
      <c r="G939" s="11"/>
      <c r="H939" s="11"/>
      <c r="I939" s="11"/>
      <c r="J939" s="11"/>
      <c r="K939" s="11"/>
      <c r="L939" s="15"/>
      <c r="M939" s="15"/>
      <c r="N939" s="15"/>
      <c r="O939" s="15"/>
      <c r="P939" s="15"/>
      <c r="Q939" s="11"/>
      <c r="R939" s="11"/>
      <c r="S939" s="11"/>
      <c r="T939" s="11"/>
      <c r="U939" s="15"/>
      <c r="V939" s="11"/>
      <c r="W939" s="11"/>
      <c r="X939" s="11"/>
      <c r="Y939" s="11"/>
      <c r="Z939" s="11"/>
    </row>
    <row r="940">
      <c r="A940" s="18"/>
      <c r="B940" s="11"/>
      <c r="C940" s="11"/>
      <c r="D940" s="11"/>
      <c r="E940" s="11"/>
      <c r="F940" s="11"/>
      <c r="G940" s="11"/>
      <c r="H940" s="11"/>
      <c r="I940" s="11"/>
      <c r="J940" s="11"/>
      <c r="K940" s="11"/>
      <c r="L940" s="15"/>
      <c r="M940" s="15"/>
      <c r="N940" s="15"/>
      <c r="O940" s="15"/>
      <c r="P940" s="15"/>
      <c r="Q940" s="11"/>
      <c r="R940" s="11"/>
      <c r="S940" s="11"/>
      <c r="T940" s="11"/>
      <c r="U940" s="15"/>
      <c r="V940" s="11"/>
      <c r="W940" s="11"/>
      <c r="X940" s="11"/>
      <c r="Y940" s="11"/>
      <c r="Z940" s="11"/>
    </row>
    <row r="941">
      <c r="A941" s="18"/>
      <c r="B941" s="11"/>
      <c r="C941" s="11"/>
      <c r="D941" s="11"/>
      <c r="E941" s="11"/>
      <c r="F941" s="11"/>
      <c r="G941" s="11"/>
      <c r="H941" s="11"/>
      <c r="I941" s="11"/>
      <c r="J941" s="11"/>
      <c r="K941" s="11"/>
      <c r="L941" s="15"/>
      <c r="M941" s="15"/>
      <c r="N941" s="15"/>
      <c r="O941" s="15"/>
      <c r="P941" s="15"/>
      <c r="Q941" s="11"/>
      <c r="R941" s="11"/>
      <c r="S941" s="11"/>
      <c r="T941" s="11"/>
      <c r="U941" s="15"/>
      <c r="V941" s="11"/>
      <c r="W941" s="11"/>
      <c r="X941" s="11"/>
      <c r="Y941" s="11"/>
      <c r="Z941" s="11"/>
    </row>
    <row r="942">
      <c r="A942" s="18"/>
      <c r="B942" s="11"/>
      <c r="C942" s="11"/>
      <c r="D942" s="11"/>
      <c r="E942" s="11"/>
      <c r="F942" s="11"/>
      <c r="G942" s="11"/>
      <c r="H942" s="11"/>
      <c r="I942" s="11"/>
      <c r="J942" s="11"/>
      <c r="K942" s="11"/>
      <c r="L942" s="15"/>
      <c r="M942" s="15"/>
      <c r="N942" s="15"/>
      <c r="O942" s="15"/>
      <c r="P942" s="15"/>
      <c r="Q942" s="11"/>
      <c r="R942" s="11"/>
      <c r="S942" s="11"/>
      <c r="T942" s="11"/>
      <c r="U942" s="15"/>
      <c r="V942" s="11"/>
      <c r="W942" s="11"/>
      <c r="X942" s="11"/>
      <c r="Y942" s="11"/>
      <c r="Z942" s="11"/>
    </row>
    <row r="943">
      <c r="A943" s="18"/>
      <c r="B943" s="11"/>
      <c r="C943" s="11"/>
      <c r="D943" s="11"/>
      <c r="E943" s="11"/>
      <c r="F943" s="11"/>
      <c r="G943" s="11"/>
      <c r="H943" s="11"/>
      <c r="I943" s="11"/>
      <c r="J943" s="11"/>
      <c r="K943" s="11"/>
      <c r="L943" s="15"/>
      <c r="M943" s="15"/>
      <c r="N943" s="15"/>
      <c r="O943" s="15"/>
      <c r="P943" s="15"/>
      <c r="Q943" s="11"/>
      <c r="R943" s="11"/>
      <c r="S943" s="11"/>
      <c r="T943" s="11"/>
      <c r="U943" s="15"/>
      <c r="V943" s="11"/>
      <c r="W943" s="11"/>
      <c r="X943" s="11"/>
      <c r="Y943" s="11"/>
      <c r="Z943" s="11"/>
    </row>
    <row r="944">
      <c r="A944" s="18"/>
      <c r="B944" s="11"/>
      <c r="C944" s="11"/>
      <c r="D944" s="11"/>
      <c r="E944" s="11"/>
      <c r="F944" s="11"/>
      <c r="G944" s="11"/>
      <c r="H944" s="11"/>
      <c r="I944" s="11"/>
      <c r="J944" s="11"/>
      <c r="K944" s="11"/>
      <c r="L944" s="15"/>
      <c r="M944" s="15"/>
      <c r="N944" s="15"/>
      <c r="O944" s="15"/>
      <c r="P944" s="15"/>
      <c r="Q944" s="11"/>
      <c r="R944" s="11"/>
      <c r="S944" s="11"/>
      <c r="T944" s="11"/>
      <c r="U944" s="15"/>
      <c r="V944" s="11"/>
      <c r="W944" s="11"/>
      <c r="X944" s="11"/>
      <c r="Y944" s="11"/>
      <c r="Z944" s="11"/>
    </row>
    <row r="945">
      <c r="A945" s="18"/>
      <c r="B945" s="11"/>
      <c r="C945" s="11"/>
      <c r="D945" s="11"/>
      <c r="E945" s="11"/>
      <c r="F945" s="11"/>
      <c r="G945" s="11"/>
      <c r="H945" s="11"/>
      <c r="I945" s="11"/>
      <c r="J945" s="11"/>
      <c r="K945" s="11"/>
      <c r="L945" s="15"/>
      <c r="M945" s="15"/>
      <c r="N945" s="15"/>
      <c r="O945" s="15"/>
      <c r="P945" s="15"/>
      <c r="Q945" s="11"/>
      <c r="R945" s="11"/>
      <c r="S945" s="11"/>
      <c r="T945" s="11"/>
      <c r="U945" s="15"/>
      <c r="V945" s="11"/>
      <c r="W945" s="11"/>
      <c r="X945" s="11"/>
      <c r="Y945" s="11"/>
      <c r="Z945" s="11"/>
    </row>
    <row r="946">
      <c r="A946" s="18"/>
      <c r="B946" s="11"/>
      <c r="C946" s="11"/>
      <c r="D946" s="11"/>
      <c r="E946" s="11"/>
      <c r="F946" s="11"/>
      <c r="G946" s="11"/>
      <c r="H946" s="11"/>
      <c r="I946" s="11"/>
      <c r="J946" s="11"/>
      <c r="K946" s="11"/>
      <c r="L946" s="15"/>
      <c r="M946" s="15"/>
      <c r="N946" s="15"/>
      <c r="O946" s="15"/>
      <c r="P946" s="15"/>
      <c r="Q946" s="11"/>
      <c r="R946" s="11"/>
      <c r="S946" s="11"/>
      <c r="T946" s="11"/>
      <c r="U946" s="15"/>
      <c r="V946" s="11"/>
      <c r="W946" s="11"/>
      <c r="X946" s="11"/>
      <c r="Y946" s="11"/>
      <c r="Z946" s="11"/>
    </row>
    <row r="947">
      <c r="A947" s="18"/>
      <c r="B947" s="11"/>
      <c r="C947" s="11"/>
      <c r="D947" s="11"/>
      <c r="E947" s="11"/>
      <c r="F947" s="11"/>
      <c r="G947" s="11"/>
      <c r="H947" s="11"/>
      <c r="I947" s="11"/>
      <c r="J947" s="11"/>
      <c r="K947" s="11"/>
      <c r="L947" s="15"/>
      <c r="M947" s="15"/>
      <c r="N947" s="15"/>
      <c r="O947" s="15"/>
      <c r="P947" s="15"/>
      <c r="Q947" s="11"/>
      <c r="R947" s="11"/>
      <c r="S947" s="11"/>
      <c r="T947" s="11"/>
      <c r="U947" s="15"/>
      <c r="V947" s="11"/>
      <c r="W947" s="11"/>
      <c r="X947" s="11"/>
      <c r="Y947" s="11"/>
      <c r="Z947" s="11"/>
    </row>
    <row r="948">
      <c r="A948" s="18"/>
      <c r="B948" s="11"/>
      <c r="C948" s="11"/>
      <c r="D948" s="11"/>
      <c r="E948" s="11"/>
      <c r="F948" s="11"/>
      <c r="G948" s="11"/>
      <c r="H948" s="11"/>
      <c r="I948" s="11"/>
      <c r="J948" s="11"/>
      <c r="K948" s="11"/>
      <c r="L948" s="15"/>
      <c r="M948" s="15"/>
      <c r="N948" s="15"/>
      <c r="O948" s="15"/>
      <c r="P948" s="15"/>
      <c r="Q948" s="11"/>
      <c r="R948" s="11"/>
      <c r="S948" s="11"/>
      <c r="T948" s="11"/>
      <c r="U948" s="15"/>
      <c r="V948" s="11"/>
      <c r="W948" s="11"/>
      <c r="X948" s="11"/>
      <c r="Y948" s="11"/>
      <c r="Z948" s="11"/>
    </row>
    <row r="949">
      <c r="A949" s="18"/>
      <c r="B949" s="11"/>
      <c r="C949" s="11"/>
      <c r="D949" s="11"/>
      <c r="E949" s="11"/>
      <c r="F949" s="11"/>
      <c r="G949" s="11"/>
      <c r="H949" s="11"/>
      <c r="I949" s="11"/>
      <c r="J949" s="11"/>
      <c r="K949" s="11"/>
      <c r="L949" s="15"/>
      <c r="M949" s="15"/>
      <c r="N949" s="15"/>
      <c r="O949" s="15"/>
      <c r="P949" s="15"/>
      <c r="Q949" s="11"/>
      <c r="R949" s="11"/>
      <c r="S949" s="11"/>
      <c r="T949" s="11"/>
      <c r="U949" s="15"/>
      <c r="V949" s="11"/>
      <c r="W949" s="11"/>
      <c r="X949" s="11"/>
      <c r="Y949" s="11"/>
      <c r="Z949" s="11"/>
    </row>
    <row r="950">
      <c r="A950" s="18"/>
      <c r="B950" s="11"/>
      <c r="C950" s="11"/>
      <c r="D950" s="11"/>
      <c r="E950" s="11"/>
      <c r="F950" s="11"/>
      <c r="G950" s="11"/>
      <c r="H950" s="11"/>
      <c r="I950" s="11"/>
      <c r="J950" s="11"/>
      <c r="K950" s="11"/>
      <c r="L950" s="15"/>
      <c r="M950" s="15"/>
      <c r="N950" s="15"/>
      <c r="O950" s="15"/>
      <c r="P950" s="15"/>
      <c r="Q950" s="11"/>
      <c r="R950" s="11"/>
      <c r="S950" s="11"/>
      <c r="T950" s="11"/>
      <c r="U950" s="15"/>
      <c r="V950" s="11"/>
      <c r="W950" s="11"/>
      <c r="X950" s="11"/>
      <c r="Y950" s="11"/>
      <c r="Z950" s="11"/>
    </row>
    <row r="951">
      <c r="A951" s="18"/>
      <c r="B951" s="11"/>
      <c r="C951" s="11"/>
      <c r="D951" s="11"/>
      <c r="E951" s="11"/>
      <c r="F951" s="11"/>
      <c r="G951" s="11"/>
      <c r="H951" s="11"/>
      <c r="I951" s="11"/>
      <c r="J951" s="11"/>
      <c r="K951" s="11"/>
      <c r="L951" s="15"/>
      <c r="M951" s="15"/>
      <c r="N951" s="15"/>
      <c r="O951" s="15"/>
      <c r="P951" s="15"/>
      <c r="Q951" s="11"/>
      <c r="R951" s="11"/>
      <c r="S951" s="11"/>
      <c r="T951" s="11"/>
      <c r="U951" s="15"/>
      <c r="V951" s="11"/>
      <c r="W951" s="11"/>
      <c r="X951" s="11"/>
      <c r="Y951" s="11"/>
      <c r="Z951" s="11"/>
    </row>
    <row r="952">
      <c r="A952" s="18"/>
      <c r="B952" s="11"/>
      <c r="C952" s="11"/>
      <c r="D952" s="11"/>
      <c r="E952" s="11"/>
      <c r="F952" s="11"/>
      <c r="G952" s="11"/>
      <c r="H952" s="11"/>
      <c r="I952" s="11"/>
      <c r="J952" s="11"/>
      <c r="K952" s="11"/>
      <c r="L952" s="15"/>
      <c r="M952" s="15"/>
      <c r="N952" s="15"/>
      <c r="O952" s="15"/>
      <c r="P952" s="15"/>
      <c r="Q952" s="11"/>
      <c r="R952" s="11"/>
      <c r="S952" s="11"/>
      <c r="T952" s="11"/>
      <c r="U952" s="15"/>
      <c r="V952" s="11"/>
      <c r="W952" s="11"/>
      <c r="X952" s="11"/>
      <c r="Y952" s="11"/>
      <c r="Z952" s="11"/>
    </row>
    <row r="953">
      <c r="A953" s="18"/>
      <c r="B953" s="11"/>
      <c r="C953" s="11"/>
      <c r="D953" s="11"/>
      <c r="E953" s="11"/>
      <c r="F953" s="11"/>
      <c r="G953" s="11"/>
      <c r="H953" s="11"/>
      <c r="I953" s="11"/>
      <c r="J953" s="11"/>
      <c r="K953" s="11"/>
      <c r="L953" s="15"/>
      <c r="M953" s="15"/>
      <c r="N953" s="15"/>
      <c r="O953" s="15"/>
      <c r="P953" s="15"/>
      <c r="Q953" s="11"/>
      <c r="R953" s="11"/>
      <c r="S953" s="11"/>
      <c r="T953" s="11"/>
      <c r="U953" s="15"/>
      <c r="V953" s="11"/>
      <c r="W953" s="11"/>
      <c r="X953" s="11"/>
      <c r="Y953" s="11"/>
      <c r="Z953" s="11"/>
    </row>
    <row r="954">
      <c r="A954" s="18"/>
      <c r="B954" s="11"/>
      <c r="C954" s="11"/>
      <c r="D954" s="11"/>
      <c r="E954" s="11"/>
      <c r="F954" s="11"/>
      <c r="G954" s="11"/>
      <c r="H954" s="11"/>
      <c r="I954" s="11"/>
      <c r="J954" s="11"/>
      <c r="K954" s="11"/>
      <c r="L954" s="15"/>
      <c r="M954" s="15"/>
      <c r="N954" s="15"/>
      <c r="O954" s="15"/>
      <c r="P954" s="15"/>
      <c r="Q954" s="11"/>
      <c r="R954" s="11"/>
      <c r="S954" s="11"/>
      <c r="T954" s="11"/>
      <c r="U954" s="15"/>
      <c r="V954" s="11"/>
      <c r="W954" s="11"/>
      <c r="X954" s="11"/>
      <c r="Y954" s="11"/>
      <c r="Z954" s="11"/>
    </row>
    <row r="955">
      <c r="A955" s="18"/>
      <c r="B955" s="11"/>
      <c r="C955" s="11"/>
      <c r="D955" s="11"/>
      <c r="E955" s="11"/>
      <c r="F955" s="11"/>
      <c r="G955" s="11"/>
      <c r="H955" s="11"/>
      <c r="I955" s="11"/>
      <c r="J955" s="11"/>
      <c r="K955" s="11"/>
      <c r="L955" s="15"/>
      <c r="M955" s="15"/>
      <c r="N955" s="15"/>
      <c r="O955" s="15"/>
      <c r="P955" s="15"/>
      <c r="Q955" s="11"/>
      <c r="R955" s="11"/>
      <c r="S955" s="11"/>
      <c r="T955" s="11"/>
      <c r="U955" s="15"/>
      <c r="V955" s="11"/>
      <c r="W955" s="11"/>
      <c r="X955" s="11"/>
      <c r="Y955" s="11"/>
      <c r="Z955" s="11"/>
    </row>
    <row r="956">
      <c r="A956" s="18"/>
      <c r="B956" s="11"/>
      <c r="C956" s="11"/>
      <c r="D956" s="11"/>
      <c r="E956" s="11"/>
      <c r="F956" s="11"/>
      <c r="G956" s="11"/>
      <c r="H956" s="11"/>
      <c r="I956" s="11"/>
      <c r="J956" s="11"/>
      <c r="K956" s="11"/>
      <c r="L956" s="15"/>
      <c r="M956" s="15"/>
      <c r="N956" s="15"/>
      <c r="O956" s="15"/>
      <c r="P956" s="15"/>
      <c r="Q956" s="11"/>
      <c r="R956" s="11"/>
      <c r="S956" s="11"/>
      <c r="T956" s="11"/>
      <c r="U956" s="15"/>
      <c r="V956" s="11"/>
      <c r="W956" s="11"/>
      <c r="X956" s="11"/>
      <c r="Y956" s="11"/>
      <c r="Z956" s="11"/>
    </row>
    <row r="957">
      <c r="A957" s="18"/>
      <c r="B957" s="11"/>
      <c r="C957" s="11"/>
      <c r="D957" s="11"/>
      <c r="E957" s="11"/>
      <c r="F957" s="11"/>
      <c r="G957" s="11"/>
      <c r="H957" s="11"/>
      <c r="I957" s="11"/>
      <c r="J957" s="11"/>
      <c r="K957" s="11"/>
      <c r="L957" s="15"/>
      <c r="M957" s="15"/>
      <c r="N957" s="15"/>
      <c r="O957" s="15"/>
      <c r="P957" s="15"/>
      <c r="Q957" s="11"/>
      <c r="R957" s="11"/>
      <c r="S957" s="11"/>
      <c r="T957" s="11"/>
      <c r="U957" s="15"/>
      <c r="V957" s="11"/>
      <c r="W957" s="11"/>
      <c r="X957" s="11"/>
      <c r="Y957" s="11"/>
      <c r="Z957" s="11"/>
    </row>
    <row r="958">
      <c r="A958" s="18"/>
      <c r="B958" s="11"/>
      <c r="C958" s="11"/>
      <c r="D958" s="11"/>
      <c r="E958" s="11"/>
      <c r="F958" s="11"/>
      <c r="G958" s="11"/>
      <c r="H958" s="11"/>
      <c r="I958" s="11"/>
      <c r="J958" s="11"/>
      <c r="K958" s="11"/>
      <c r="L958" s="15"/>
      <c r="M958" s="15"/>
      <c r="N958" s="15"/>
      <c r="O958" s="15"/>
      <c r="P958" s="15"/>
      <c r="Q958" s="11"/>
      <c r="R958" s="11"/>
      <c r="S958" s="11"/>
      <c r="T958" s="11"/>
      <c r="U958" s="15"/>
      <c r="V958" s="11"/>
      <c r="W958" s="11"/>
      <c r="X958" s="11"/>
      <c r="Y958" s="11"/>
      <c r="Z958" s="11"/>
    </row>
    <row r="959">
      <c r="A959" s="18"/>
      <c r="B959" s="11"/>
      <c r="C959" s="11"/>
      <c r="D959" s="11"/>
      <c r="E959" s="11"/>
      <c r="F959" s="11"/>
      <c r="G959" s="11"/>
      <c r="H959" s="11"/>
      <c r="I959" s="11"/>
      <c r="J959" s="11"/>
      <c r="K959" s="11"/>
      <c r="L959" s="15"/>
      <c r="M959" s="15"/>
      <c r="N959" s="15"/>
      <c r="O959" s="15"/>
      <c r="P959" s="15"/>
      <c r="Q959" s="11"/>
      <c r="R959" s="11"/>
      <c r="S959" s="11"/>
      <c r="T959" s="11"/>
      <c r="U959" s="15"/>
      <c r="V959" s="11"/>
      <c r="W959" s="11"/>
      <c r="X959" s="11"/>
      <c r="Y959" s="11"/>
      <c r="Z959" s="11"/>
    </row>
    <row r="960">
      <c r="A960" s="18"/>
      <c r="B960" s="11"/>
      <c r="C960" s="11"/>
      <c r="D960" s="11"/>
      <c r="E960" s="11"/>
      <c r="F960" s="11"/>
      <c r="G960" s="11"/>
      <c r="H960" s="11"/>
      <c r="I960" s="11"/>
      <c r="J960" s="11"/>
      <c r="K960" s="11"/>
      <c r="L960" s="15"/>
      <c r="M960" s="15"/>
      <c r="N960" s="15"/>
      <c r="O960" s="15"/>
      <c r="P960" s="15"/>
      <c r="Q960" s="11"/>
      <c r="R960" s="11"/>
      <c r="S960" s="11"/>
      <c r="T960" s="11"/>
      <c r="U960" s="15"/>
      <c r="V960" s="11"/>
      <c r="W960" s="11"/>
      <c r="X960" s="11"/>
      <c r="Y960" s="11"/>
      <c r="Z960" s="11"/>
    </row>
    <row r="961">
      <c r="A961" s="18"/>
      <c r="B961" s="11"/>
      <c r="C961" s="11"/>
      <c r="D961" s="11"/>
      <c r="E961" s="11"/>
      <c r="F961" s="11"/>
      <c r="G961" s="11"/>
      <c r="H961" s="11"/>
      <c r="I961" s="11"/>
      <c r="J961" s="11"/>
      <c r="K961" s="11"/>
      <c r="L961" s="15"/>
      <c r="M961" s="15"/>
      <c r="N961" s="15"/>
      <c r="O961" s="15"/>
      <c r="P961" s="15"/>
      <c r="Q961" s="11"/>
      <c r="R961" s="11"/>
      <c r="S961" s="11"/>
      <c r="T961" s="11"/>
      <c r="U961" s="15"/>
      <c r="V961" s="11"/>
      <c r="W961" s="11"/>
      <c r="X961" s="11"/>
      <c r="Y961" s="11"/>
      <c r="Z961" s="11"/>
    </row>
    <row r="962">
      <c r="A962" s="18"/>
      <c r="B962" s="11"/>
      <c r="C962" s="11"/>
      <c r="D962" s="11"/>
      <c r="E962" s="11"/>
      <c r="F962" s="11"/>
      <c r="G962" s="11"/>
      <c r="H962" s="11"/>
      <c r="I962" s="11"/>
      <c r="J962" s="11"/>
      <c r="K962" s="11"/>
      <c r="L962" s="15"/>
      <c r="M962" s="15"/>
      <c r="N962" s="15"/>
      <c r="O962" s="15"/>
      <c r="P962" s="15"/>
      <c r="Q962" s="11"/>
      <c r="R962" s="11"/>
      <c r="S962" s="11"/>
      <c r="T962" s="11"/>
      <c r="U962" s="15"/>
      <c r="V962" s="11"/>
      <c r="W962" s="11"/>
      <c r="X962" s="11"/>
      <c r="Y962" s="11"/>
      <c r="Z962" s="11"/>
    </row>
    <row r="963">
      <c r="A963" s="18"/>
      <c r="B963" s="11"/>
      <c r="C963" s="11"/>
      <c r="D963" s="11"/>
      <c r="E963" s="11"/>
      <c r="F963" s="11"/>
      <c r="G963" s="11"/>
      <c r="H963" s="11"/>
      <c r="I963" s="11"/>
      <c r="J963" s="11"/>
      <c r="K963" s="11"/>
      <c r="L963" s="15"/>
      <c r="M963" s="15"/>
      <c r="N963" s="15"/>
      <c r="O963" s="15"/>
      <c r="P963" s="15"/>
      <c r="Q963" s="11"/>
      <c r="R963" s="11"/>
      <c r="S963" s="11"/>
      <c r="T963" s="11"/>
      <c r="U963" s="15"/>
      <c r="V963" s="11"/>
      <c r="W963" s="11"/>
      <c r="X963" s="11"/>
      <c r="Y963" s="11"/>
      <c r="Z963" s="11"/>
    </row>
    <row r="964">
      <c r="A964" s="18"/>
      <c r="B964" s="11"/>
      <c r="C964" s="11"/>
      <c r="D964" s="11"/>
      <c r="E964" s="11"/>
      <c r="F964" s="11"/>
      <c r="G964" s="11"/>
      <c r="H964" s="11"/>
      <c r="I964" s="11"/>
      <c r="J964" s="11"/>
      <c r="K964" s="11"/>
      <c r="L964" s="15"/>
      <c r="M964" s="15"/>
      <c r="N964" s="15"/>
      <c r="O964" s="15"/>
      <c r="P964" s="15"/>
      <c r="Q964" s="11"/>
      <c r="R964" s="11"/>
      <c r="S964" s="11"/>
      <c r="T964" s="11"/>
      <c r="U964" s="15"/>
      <c r="V964" s="11"/>
      <c r="W964" s="11"/>
      <c r="X964" s="11"/>
      <c r="Y964" s="11"/>
      <c r="Z964" s="11"/>
    </row>
    <row r="965">
      <c r="A965" s="18"/>
      <c r="B965" s="11"/>
      <c r="C965" s="11"/>
      <c r="D965" s="11"/>
      <c r="E965" s="11"/>
      <c r="F965" s="11"/>
      <c r="G965" s="11"/>
      <c r="H965" s="11"/>
      <c r="I965" s="11"/>
      <c r="J965" s="11"/>
      <c r="K965" s="11"/>
      <c r="L965" s="15"/>
      <c r="M965" s="15"/>
      <c r="N965" s="15"/>
      <c r="O965" s="15"/>
      <c r="P965" s="15"/>
      <c r="Q965" s="11"/>
      <c r="R965" s="11"/>
      <c r="S965" s="11"/>
      <c r="T965" s="11"/>
      <c r="U965" s="15"/>
      <c r="V965" s="11"/>
      <c r="W965" s="11"/>
      <c r="X965" s="11"/>
      <c r="Y965" s="11"/>
      <c r="Z965" s="11"/>
    </row>
    <row r="966">
      <c r="A966" s="18"/>
      <c r="B966" s="11"/>
      <c r="C966" s="11"/>
      <c r="D966" s="11"/>
      <c r="E966" s="11"/>
      <c r="F966" s="11"/>
      <c r="G966" s="11"/>
      <c r="H966" s="11"/>
      <c r="I966" s="11"/>
      <c r="J966" s="11"/>
      <c r="K966" s="11"/>
      <c r="L966" s="15"/>
      <c r="M966" s="15"/>
      <c r="N966" s="15"/>
      <c r="O966" s="15"/>
      <c r="P966" s="15"/>
      <c r="Q966" s="11"/>
      <c r="R966" s="11"/>
      <c r="S966" s="11"/>
      <c r="T966" s="11"/>
      <c r="U966" s="15"/>
      <c r="V966" s="11"/>
      <c r="W966" s="11"/>
      <c r="X966" s="11"/>
      <c r="Y966" s="11"/>
      <c r="Z966" s="11"/>
    </row>
    <row r="967">
      <c r="A967" s="18"/>
      <c r="B967" s="11"/>
      <c r="C967" s="11"/>
      <c r="D967" s="11"/>
      <c r="E967" s="11"/>
      <c r="F967" s="11"/>
      <c r="G967" s="11"/>
      <c r="H967" s="11"/>
      <c r="I967" s="11"/>
      <c r="J967" s="11"/>
      <c r="K967" s="11"/>
      <c r="L967" s="15"/>
      <c r="M967" s="15"/>
      <c r="N967" s="15"/>
      <c r="O967" s="15"/>
      <c r="P967" s="15"/>
      <c r="Q967" s="11"/>
      <c r="R967" s="11"/>
      <c r="S967" s="11"/>
      <c r="T967" s="11"/>
      <c r="U967" s="15"/>
      <c r="V967" s="11"/>
      <c r="W967" s="11"/>
      <c r="X967" s="11"/>
      <c r="Y967" s="11"/>
      <c r="Z967" s="11"/>
    </row>
    <row r="968">
      <c r="A968" s="18"/>
      <c r="B968" s="11"/>
      <c r="C968" s="11"/>
      <c r="D968" s="11"/>
      <c r="E968" s="11"/>
      <c r="F968" s="11"/>
      <c r="G968" s="11"/>
      <c r="H968" s="11"/>
      <c r="I968" s="11"/>
      <c r="J968" s="11"/>
      <c r="K968" s="11"/>
      <c r="L968" s="15"/>
      <c r="M968" s="15"/>
      <c r="N968" s="15"/>
      <c r="O968" s="15"/>
      <c r="P968" s="15"/>
      <c r="Q968" s="11"/>
      <c r="R968" s="11"/>
      <c r="S968" s="11"/>
      <c r="T968" s="11"/>
      <c r="U968" s="15"/>
      <c r="V968" s="11"/>
      <c r="W968" s="11"/>
      <c r="X968" s="11"/>
      <c r="Y968" s="11"/>
      <c r="Z968" s="11"/>
    </row>
    <row r="969">
      <c r="A969" s="18"/>
      <c r="B969" s="11"/>
      <c r="C969" s="11"/>
      <c r="D969" s="11"/>
      <c r="E969" s="11"/>
      <c r="F969" s="11"/>
      <c r="G969" s="11"/>
      <c r="H969" s="11"/>
      <c r="I969" s="11"/>
      <c r="J969" s="11"/>
      <c r="K969" s="11"/>
      <c r="L969" s="15"/>
      <c r="M969" s="15"/>
      <c r="N969" s="15"/>
      <c r="O969" s="15"/>
      <c r="P969" s="15"/>
      <c r="Q969" s="11"/>
      <c r="R969" s="11"/>
      <c r="S969" s="11"/>
      <c r="T969" s="11"/>
      <c r="U969" s="15"/>
      <c r="V969" s="11"/>
      <c r="W969" s="11"/>
      <c r="X969" s="11"/>
      <c r="Y969" s="11"/>
      <c r="Z969" s="11"/>
    </row>
    <row r="970">
      <c r="A970" s="18"/>
      <c r="B970" s="11"/>
      <c r="C970" s="11"/>
      <c r="D970" s="11"/>
      <c r="E970" s="11"/>
      <c r="F970" s="11"/>
      <c r="G970" s="11"/>
      <c r="H970" s="11"/>
      <c r="I970" s="11"/>
      <c r="J970" s="11"/>
      <c r="K970" s="11"/>
      <c r="L970" s="15"/>
      <c r="M970" s="15"/>
      <c r="N970" s="15"/>
      <c r="O970" s="15"/>
      <c r="P970" s="15"/>
      <c r="Q970" s="11"/>
      <c r="R970" s="11"/>
      <c r="S970" s="11"/>
      <c r="T970" s="11"/>
      <c r="U970" s="15"/>
      <c r="V970" s="11"/>
      <c r="W970" s="11"/>
      <c r="X970" s="11"/>
      <c r="Y970" s="11"/>
      <c r="Z970" s="11"/>
    </row>
    <row r="971">
      <c r="A971" s="18"/>
      <c r="B971" s="11"/>
      <c r="C971" s="11"/>
      <c r="D971" s="11"/>
      <c r="E971" s="11"/>
      <c r="F971" s="11"/>
      <c r="G971" s="11"/>
      <c r="H971" s="11"/>
      <c r="I971" s="11"/>
      <c r="J971" s="11"/>
      <c r="K971" s="11"/>
      <c r="L971" s="15"/>
      <c r="M971" s="15"/>
      <c r="N971" s="15"/>
      <c r="O971" s="15"/>
      <c r="P971" s="15"/>
      <c r="Q971" s="11"/>
      <c r="R971" s="11"/>
      <c r="S971" s="11"/>
      <c r="T971" s="11"/>
      <c r="U971" s="15"/>
      <c r="V971" s="11"/>
      <c r="W971" s="11"/>
      <c r="X971" s="11"/>
      <c r="Y971" s="11"/>
      <c r="Z971" s="11"/>
    </row>
    <row r="972">
      <c r="A972" s="18"/>
      <c r="B972" s="11"/>
      <c r="C972" s="11"/>
      <c r="D972" s="11"/>
      <c r="E972" s="11"/>
      <c r="F972" s="11"/>
      <c r="G972" s="11"/>
      <c r="H972" s="11"/>
      <c r="I972" s="11"/>
      <c r="J972" s="11"/>
      <c r="K972" s="11"/>
      <c r="L972" s="15"/>
      <c r="M972" s="15"/>
      <c r="N972" s="15"/>
      <c r="O972" s="15"/>
      <c r="P972" s="15"/>
      <c r="Q972" s="11"/>
      <c r="R972" s="11"/>
      <c r="S972" s="11"/>
      <c r="T972" s="11"/>
      <c r="U972" s="15"/>
      <c r="V972" s="11"/>
      <c r="W972" s="11"/>
      <c r="X972" s="11"/>
      <c r="Y972" s="11"/>
      <c r="Z972" s="11"/>
    </row>
    <row r="973">
      <c r="A973" s="18"/>
      <c r="B973" s="11"/>
      <c r="C973" s="11"/>
      <c r="D973" s="11"/>
      <c r="E973" s="11"/>
      <c r="F973" s="11"/>
      <c r="G973" s="11"/>
      <c r="H973" s="11"/>
      <c r="I973" s="11"/>
      <c r="J973" s="11"/>
      <c r="K973" s="11"/>
      <c r="L973" s="15"/>
      <c r="M973" s="15"/>
      <c r="N973" s="15"/>
      <c r="O973" s="15"/>
      <c r="P973" s="15"/>
      <c r="Q973" s="11"/>
      <c r="R973" s="11"/>
      <c r="S973" s="11"/>
      <c r="T973" s="11"/>
      <c r="U973" s="15"/>
      <c r="V973" s="11"/>
      <c r="W973" s="11"/>
      <c r="X973" s="11"/>
      <c r="Y973" s="11"/>
      <c r="Z973" s="11"/>
    </row>
    <row r="974">
      <c r="A974" s="18"/>
      <c r="B974" s="11"/>
      <c r="C974" s="11"/>
      <c r="D974" s="11"/>
      <c r="E974" s="11"/>
      <c r="F974" s="11"/>
      <c r="G974" s="11"/>
      <c r="H974" s="11"/>
      <c r="I974" s="11"/>
      <c r="J974" s="11"/>
      <c r="K974" s="11"/>
      <c r="L974" s="15"/>
      <c r="M974" s="15"/>
      <c r="N974" s="15"/>
      <c r="O974" s="15"/>
      <c r="P974" s="15"/>
      <c r="Q974" s="11"/>
      <c r="R974" s="11"/>
      <c r="S974" s="11"/>
      <c r="T974" s="11"/>
      <c r="U974" s="15"/>
      <c r="V974" s="11"/>
      <c r="W974" s="11"/>
      <c r="X974" s="11"/>
      <c r="Y974" s="11"/>
      <c r="Z974" s="11"/>
    </row>
    <row r="975">
      <c r="A975" s="18"/>
      <c r="B975" s="11"/>
      <c r="C975" s="11"/>
      <c r="D975" s="11"/>
      <c r="E975" s="11"/>
      <c r="F975" s="11"/>
      <c r="G975" s="11"/>
      <c r="H975" s="11"/>
      <c r="I975" s="11"/>
      <c r="J975" s="11"/>
      <c r="K975" s="11"/>
      <c r="L975" s="15"/>
      <c r="M975" s="15"/>
      <c r="N975" s="15"/>
      <c r="O975" s="15"/>
      <c r="P975" s="15"/>
      <c r="Q975" s="11"/>
      <c r="R975" s="11"/>
      <c r="S975" s="11"/>
      <c r="T975" s="11"/>
      <c r="U975" s="15"/>
      <c r="V975" s="11"/>
      <c r="W975" s="11"/>
      <c r="X975" s="11"/>
      <c r="Y975" s="11"/>
      <c r="Z975" s="11"/>
    </row>
    <row r="976">
      <c r="A976" s="18"/>
      <c r="B976" s="11"/>
      <c r="C976" s="11"/>
      <c r="D976" s="11"/>
      <c r="E976" s="11"/>
      <c r="F976" s="11"/>
      <c r="G976" s="11"/>
      <c r="H976" s="11"/>
      <c r="I976" s="11"/>
      <c r="J976" s="11"/>
      <c r="K976" s="11"/>
      <c r="L976" s="15"/>
      <c r="M976" s="15"/>
      <c r="N976" s="15"/>
      <c r="O976" s="15"/>
      <c r="P976" s="15"/>
      <c r="Q976" s="11"/>
      <c r="R976" s="11"/>
      <c r="S976" s="11"/>
      <c r="T976" s="11"/>
      <c r="U976" s="15"/>
      <c r="V976" s="11"/>
      <c r="W976" s="11"/>
      <c r="X976" s="11"/>
      <c r="Y976" s="11"/>
      <c r="Z976" s="11"/>
    </row>
    <row r="977">
      <c r="A977" s="18"/>
      <c r="B977" s="11"/>
      <c r="C977" s="11"/>
      <c r="D977" s="11"/>
      <c r="E977" s="11"/>
      <c r="F977" s="11"/>
      <c r="G977" s="11"/>
      <c r="H977" s="11"/>
      <c r="I977" s="11"/>
      <c r="J977" s="11"/>
      <c r="K977" s="11"/>
      <c r="L977" s="15"/>
      <c r="M977" s="15"/>
      <c r="N977" s="15"/>
      <c r="O977" s="15"/>
      <c r="P977" s="15"/>
      <c r="Q977" s="11"/>
      <c r="R977" s="11"/>
      <c r="S977" s="11"/>
      <c r="T977" s="11"/>
      <c r="U977" s="15"/>
      <c r="V977" s="11"/>
      <c r="W977" s="11"/>
      <c r="X977" s="11"/>
      <c r="Y977" s="11"/>
      <c r="Z977" s="11"/>
    </row>
    <row r="978">
      <c r="A978" s="18"/>
      <c r="B978" s="11"/>
      <c r="C978" s="11"/>
      <c r="D978" s="11"/>
      <c r="E978" s="11"/>
      <c r="F978" s="11"/>
      <c r="G978" s="11"/>
      <c r="H978" s="11"/>
      <c r="I978" s="11"/>
      <c r="J978" s="11"/>
      <c r="K978" s="11"/>
      <c r="L978" s="15"/>
      <c r="M978" s="15"/>
      <c r="N978" s="15"/>
      <c r="O978" s="15"/>
      <c r="P978" s="15"/>
      <c r="Q978" s="11"/>
      <c r="R978" s="11"/>
      <c r="S978" s="11"/>
      <c r="T978" s="11"/>
      <c r="U978" s="15"/>
      <c r="V978" s="11"/>
      <c r="W978" s="11"/>
      <c r="X978" s="11"/>
      <c r="Y978" s="11"/>
      <c r="Z978" s="11"/>
    </row>
    <row r="979">
      <c r="A979" s="18"/>
      <c r="B979" s="11"/>
      <c r="C979" s="11"/>
      <c r="D979" s="11"/>
      <c r="E979" s="11"/>
      <c r="F979" s="11"/>
      <c r="G979" s="11"/>
      <c r="H979" s="11"/>
      <c r="I979" s="11"/>
      <c r="J979" s="11"/>
      <c r="K979" s="11"/>
      <c r="L979" s="15"/>
      <c r="M979" s="15"/>
      <c r="N979" s="15"/>
      <c r="O979" s="15"/>
      <c r="P979" s="15"/>
      <c r="Q979" s="11"/>
      <c r="R979" s="11"/>
      <c r="S979" s="11"/>
      <c r="T979" s="11"/>
      <c r="U979" s="15"/>
      <c r="V979" s="11"/>
      <c r="W979" s="11"/>
      <c r="X979" s="11"/>
      <c r="Y979" s="11"/>
      <c r="Z979" s="11"/>
    </row>
    <row r="980">
      <c r="A980" s="18"/>
      <c r="B980" s="11"/>
      <c r="C980" s="11"/>
      <c r="D980" s="11"/>
      <c r="E980" s="11"/>
      <c r="F980" s="11"/>
      <c r="G980" s="11"/>
      <c r="H980" s="11"/>
      <c r="I980" s="11"/>
      <c r="J980" s="11"/>
      <c r="K980" s="11"/>
      <c r="L980" s="15"/>
      <c r="M980" s="15"/>
      <c r="N980" s="15"/>
      <c r="O980" s="15"/>
      <c r="P980" s="15"/>
      <c r="Q980" s="11"/>
      <c r="R980" s="11"/>
      <c r="S980" s="11"/>
      <c r="T980" s="11"/>
      <c r="U980" s="15"/>
      <c r="V980" s="11"/>
      <c r="W980" s="11"/>
      <c r="X980" s="11"/>
      <c r="Y980" s="11"/>
      <c r="Z980" s="11"/>
    </row>
    <row r="981">
      <c r="A981" s="18"/>
      <c r="B981" s="11"/>
      <c r="C981" s="11"/>
      <c r="D981" s="11"/>
      <c r="E981" s="11"/>
      <c r="F981" s="11"/>
      <c r="G981" s="11"/>
      <c r="H981" s="11"/>
      <c r="I981" s="11"/>
      <c r="J981" s="11"/>
      <c r="K981" s="11"/>
      <c r="L981" s="15"/>
      <c r="M981" s="15"/>
      <c r="N981" s="15"/>
      <c r="O981" s="15"/>
      <c r="P981" s="15"/>
      <c r="Q981" s="11"/>
      <c r="R981" s="11"/>
      <c r="S981" s="11"/>
      <c r="T981" s="11"/>
      <c r="U981" s="15"/>
      <c r="V981" s="11"/>
      <c r="W981" s="11"/>
      <c r="X981" s="11"/>
      <c r="Y981" s="11"/>
      <c r="Z981" s="11"/>
    </row>
    <row r="982">
      <c r="A982" s="18"/>
      <c r="B982" s="11"/>
      <c r="C982" s="11"/>
      <c r="D982" s="11"/>
      <c r="E982" s="11"/>
      <c r="F982" s="11"/>
      <c r="G982" s="11"/>
      <c r="H982" s="11"/>
      <c r="I982" s="11"/>
      <c r="J982" s="11"/>
      <c r="K982" s="11"/>
      <c r="L982" s="15"/>
      <c r="M982" s="15"/>
      <c r="N982" s="15"/>
      <c r="O982" s="15"/>
      <c r="P982" s="15"/>
      <c r="Q982" s="11"/>
      <c r="R982" s="11"/>
      <c r="S982" s="11"/>
      <c r="T982" s="11"/>
      <c r="U982" s="15"/>
      <c r="V982" s="11"/>
      <c r="W982" s="11"/>
      <c r="X982" s="11"/>
      <c r="Y982" s="11"/>
      <c r="Z982" s="11"/>
    </row>
    <row r="983">
      <c r="A983" s="18"/>
      <c r="B983" s="11"/>
      <c r="C983" s="11"/>
      <c r="D983" s="11"/>
      <c r="E983" s="11"/>
      <c r="F983" s="11"/>
      <c r="G983" s="11"/>
      <c r="H983" s="11"/>
      <c r="I983" s="11"/>
      <c r="J983" s="11"/>
      <c r="K983" s="11"/>
      <c r="L983" s="15"/>
      <c r="M983" s="15"/>
      <c r="N983" s="15"/>
      <c r="O983" s="15"/>
      <c r="P983" s="15"/>
      <c r="Q983" s="11"/>
      <c r="R983" s="11"/>
      <c r="S983" s="11"/>
      <c r="T983" s="11"/>
      <c r="U983" s="15"/>
      <c r="V983" s="11"/>
      <c r="W983" s="11"/>
      <c r="X983" s="11"/>
      <c r="Y983" s="11"/>
      <c r="Z983" s="11"/>
    </row>
    <row r="984">
      <c r="A984" s="18"/>
      <c r="B984" s="11"/>
      <c r="C984" s="11"/>
      <c r="D984" s="11"/>
      <c r="E984" s="11"/>
      <c r="F984" s="11"/>
      <c r="G984" s="11"/>
      <c r="H984" s="11"/>
      <c r="I984" s="11"/>
      <c r="J984" s="11"/>
      <c r="K984" s="11"/>
      <c r="L984" s="15"/>
      <c r="M984" s="15"/>
      <c r="N984" s="15"/>
      <c r="O984" s="15"/>
      <c r="P984" s="15"/>
      <c r="Q984" s="11"/>
      <c r="R984" s="11"/>
      <c r="S984" s="11"/>
      <c r="T984" s="11"/>
      <c r="U984" s="15"/>
      <c r="V984" s="11"/>
      <c r="W984" s="11"/>
      <c r="X984" s="11"/>
      <c r="Y984" s="11"/>
      <c r="Z984" s="11"/>
    </row>
    <row r="985">
      <c r="A985" s="18"/>
      <c r="B985" s="11"/>
      <c r="C985" s="11"/>
      <c r="D985" s="11"/>
      <c r="E985" s="11"/>
      <c r="F985" s="11"/>
      <c r="G985" s="11"/>
      <c r="H985" s="11"/>
      <c r="I985" s="11"/>
      <c r="J985" s="11"/>
      <c r="K985" s="11"/>
      <c r="L985" s="15"/>
      <c r="M985" s="15"/>
      <c r="N985" s="15"/>
      <c r="O985" s="15"/>
      <c r="P985" s="15"/>
      <c r="Q985" s="11"/>
      <c r="R985" s="11"/>
      <c r="S985" s="11"/>
      <c r="T985" s="11"/>
      <c r="U985" s="15"/>
      <c r="V985" s="11"/>
      <c r="W985" s="11"/>
      <c r="X985" s="11"/>
      <c r="Y985" s="11"/>
      <c r="Z985" s="11"/>
    </row>
    <row r="986">
      <c r="A986" s="18"/>
      <c r="B986" s="11"/>
      <c r="C986" s="11"/>
      <c r="D986" s="11"/>
      <c r="E986" s="11"/>
      <c r="F986" s="11"/>
      <c r="G986" s="11"/>
      <c r="H986" s="11"/>
      <c r="I986" s="11"/>
      <c r="J986" s="11"/>
      <c r="K986" s="11"/>
      <c r="L986" s="15"/>
      <c r="M986" s="15"/>
      <c r="N986" s="15"/>
      <c r="O986" s="15"/>
      <c r="P986" s="15"/>
      <c r="Q986" s="11"/>
      <c r="R986" s="11"/>
      <c r="S986" s="11"/>
      <c r="T986" s="11"/>
      <c r="U986" s="15"/>
      <c r="V986" s="11"/>
      <c r="W986" s="11"/>
      <c r="X986" s="11"/>
      <c r="Y986" s="11"/>
      <c r="Z986" s="11"/>
    </row>
    <row r="987">
      <c r="A987" s="18"/>
      <c r="B987" s="11"/>
      <c r="C987" s="11"/>
      <c r="D987" s="11"/>
      <c r="E987" s="11"/>
      <c r="F987" s="11"/>
      <c r="G987" s="11"/>
      <c r="H987" s="11"/>
      <c r="I987" s="11"/>
      <c r="J987" s="11"/>
      <c r="K987" s="11"/>
      <c r="L987" s="15"/>
      <c r="M987" s="15"/>
      <c r="N987" s="15"/>
      <c r="O987" s="15"/>
      <c r="P987" s="15"/>
      <c r="Q987" s="11"/>
      <c r="R987" s="11"/>
      <c r="S987" s="11"/>
      <c r="T987" s="11"/>
      <c r="U987" s="15"/>
      <c r="V987" s="11"/>
      <c r="W987" s="11"/>
      <c r="X987" s="11"/>
      <c r="Y987" s="11"/>
      <c r="Z987" s="11"/>
    </row>
    <row r="988">
      <c r="A988" s="18"/>
      <c r="B988" s="11"/>
      <c r="C988" s="11"/>
      <c r="D988" s="11"/>
      <c r="E988" s="11"/>
      <c r="F988" s="11"/>
      <c r="G988" s="11"/>
      <c r="H988" s="11"/>
      <c r="I988" s="11"/>
      <c r="J988" s="11"/>
      <c r="K988" s="11"/>
      <c r="L988" s="15"/>
      <c r="M988" s="15"/>
      <c r="N988" s="15"/>
      <c r="O988" s="15"/>
      <c r="P988" s="15"/>
      <c r="Q988" s="11"/>
      <c r="R988" s="11"/>
      <c r="S988" s="11"/>
      <c r="T988" s="11"/>
      <c r="U988" s="15"/>
      <c r="V988" s="11"/>
      <c r="W988" s="11"/>
      <c r="X988" s="11"/>
      <c r="Y988" s="11"/>
      <c r="Z988" s="11"/>
    </row>
    <row r="989">
      <c r="A989" s="18"/>
      <c r="B989" s="11"/>
      <c r="C989" s="11"/>
      <c r="D989" s="11"/>
      <c r="E989" s="11"/>
      <c r="F989" s="11"/>
      <c r="G989" s="11"/>
      <c r="H989" s="11"/>
      <c r="I989" s="11"/>
      <c r="J989" s="11"/>
      <c r="K989" s="11"/>
      <c r="L989" s="15"/>
      <c r="M989" s="15"/>
      <c r="N989" s="15"/>
      <c r="O989" s="15"/>
      <c r="P989" s="15"/>
      <c r="Q989" s="11"/>
      <c r="R989" s="11"/>
      <c r="S989" s="11"/>
      <c r="T989" s="11"/>
      <c r="U989" s="15"/>
      <c r="V989" s="11"/>
      <c r="W989" s="11"/>
      <c r="X989" s="11"/>
      <c r="Y989" s="11"/>
      <c r="Z989" s="11"/>
    </row>
    <row r="990">
      <c r="A990" s="18"/>
      <c r="B990" s="11"/>
      <c r="C990" s="11"/>
      <c r="D990" s="11"/>
      <c r="E990" s="11"/>
      <c r="F990" s="11"/>
      <c r="G990" s="11"/>
      <c r="H990" s="11"/>
      <c r="I990" s="11"/>
      <c r="J990" s="11"/>
      <c r="K990" s="11"/>
      <c r="L990" s="15"/>
      <c r="M990" s="15"/>
      <c r="N990" s="15"/>
      <c r="O990" s="15"/>
      <c r="P990" s="15"/>
      <c r="Q990" s="11"/>
      <c r="R990" s="11"/>
      <c r="S990" s="11"/>
      <c r="T990" s="11"/>
      <c r="U990" s="15"/>
      <c r="V990" s="11"/>
      <c r="W990" s="11"/>
      <c r="X990" s="11"/>
      <c r="Y990" s="11"/>
      <c r="Z990" s="11"/>
    </row>
    <row r="991">
      <c r="A991" s="18"/>
      <c r="B991" s="11"/>
      <c r="C991" s="11"/>
      <c r="D991" s="11"/>
      <c r="E991" s="11"/>
      <c r="F991" s="11"/>
      <c r="G991" s="11"/>
      <c r="H991" s="11"/>
      <c r="I991" s="11"/>
      <c r="J991" s="11"/>
      <c r="K991" s="11"/>
      <c r="L991" s="15"/>
      <c r="M991" s="15"/>
      <c r="N991" s="15"/>
      <c r="O991" s="15"/>
      <c r="P991" s="15"/>
      <c r="Q991" s="11"/>
      <c r="R991" s="11"/>
      <c r="S991" s="11"/>
      <c r="T991" s="11"/>
      <c r="U991" s="15"/>
      <c r="V991" s="11"/>
      <c r="W991" s="11"/>
      <c r="X991" s="11"/>
      <c r="Y991" s="11"/>
      <c r="Z991" s="11"/>
    </row>
    <row r="992">
      <c r="A992" s="18"/>
      <c r="B992" s="11"/>
      <c r="C992" s="11"/>
      <c r="D992" s="11"/>
      <c r="E992" s="11"/>
      <c r="F992" s="11"/>
      <c r="G992" s="11"/>
      <c r="H992" s="11"/>
      <c r="I992" s="11"/>
      <c r="J992" s="11"/>
      <c r="K992" s="11"/>
      <c r="L992" s="15"/>
      <c r="M992" s="15"/>
      <c r="N992" s="15"/>
      <c r="O992" s="15"/>
      <c r="P992" s="15"/>
      <c r="Q992" s="11"/>
      <c r="R992" s="11"/>
      <c r="S992" s="11"/>
      <c r="T992" s="11"/>
      <c r="U992" s="15"/>
      <c r="V992" s="11"/>
      <c r="W992" s="11"/>
      <c r="X992" s="11"/>
      <c r="Y992" s="11"/>
      <c r="Z992" s="11"/>
    </row>
    <row r="993">
      <c r="A993" s="18"/>
      <c r="B993" s="11"/>
      <c r="C993" s="11"/>
      <c r="D993" s="11"/>
      <c r="E993" s="11"/>
      <c r="F993" s="11"/>
      <c r="G993" s="11"/>
      <c r="H993" s="11"/>
      <c r="I993" s="11"/>
      <c r="J993" s="11"/>
      <c r="K993" s="11"/>
      <c r="L993" s="15"/>
      <c r="M993" s="15"/>
      <c r="N993" s="15"/>
      <c r="O993" s="15"/>
      <c r="P993" s="15"/>
      <c r="Q993" s="11"/>
      <c r="R993" s="11"/>
      <c r="S993" s="11"/>
      <c r="T993" s="11"/>
      <c r="U993" s="15"/>
      <c r="V993" s="11"/>
      <c r="W993" s="11"/>
      <c r="X993" s="11"/>
      <c r="Y993" s="11"/>
      <c r="Z993" s="11"/>
    </row>
    <row r="994">
      <c r="A994" s="18"/>
      <c r="B994" s="11"/>
      <c r="C994" s="11"/>
      <c r="D994" s="11"/>
      <c r="E994" s="11"/>
      <c r="F994" s="11"/>
      <c r="G994" s="11"/>
      <c r="H994" s="11"/>
      <c r="I994" s="11"/>
      <c r="J994" s="11"/>
      <c r="K994" s="11"/>
      <c r="L994" s="15"/>
      <c r="M994" s="15"/>
      <c r="N994" s="15"/>
      <c r="O994" s="15"/>
      <c r="P994" s="15"/>
      <c r="Q994" s="11"/>
      <c r="R994" s="11"/>
      <c r="S994" s="11"/>
      <c r="T994" s="11"/>
      <c r="U994" s="15"/>
      <c r="V994" s="11"/>
      <c r="W994" s="11"/>
      <c r="X994" s="11"/>
      <c r="Y994" s="11"/>
      <c r="Z994" s="11"/>
    </row>
    <row r="995">
      <c r="A995" s="18"/>
      <c r="B995" s="11"/>
      <c r="C995" s="11"/>
      <c r="D995" s="11"/>
      <c r="E995" s="11"/>
      <c r="F995" s="11"/>
      <c r="G995" s="11"/>
      <c r="H995" s="11"/>
      <c r="I995" s="11"/>
      <c r="J995" s="11"/>
      <c r="K995" s="11"/>
      <c r="L995" s="15"/>
      <c r="M995" s="15"/>
      <c r="N995" s="15"/>
      <c r="O995" s="15"/>
      <c r="P995" s="15"/>
      <c r="Q995" s="11"/>
      <c r="R995" s="11"/>
      <c r="S995" s="11"/>
      <c r="T995" s="11"/>
      <c r="U995" s="15"/>
      <c r="V995" s="11"/>
      <c r="W995" s="11"/>
      <c r="X995" s="11"/>
      <c r="Y995" s="11"/>
      <c r="Z995" s="11"/>
    </row>
    <row r="996">
      <c r="A996" s="18"/>
      <c r="B996" s="11"/>
      <c r="C996" s="11"/>
      <c r="D996" s="11"/>
      <c r="E996" s="11"/>
      <c r="F996" s="11"/>
      <c r="G996" s="11"/>
      <c r="H996" s="11"/>
      <c r="I996" s="11"/>
      <c r="J996" s="11"/>
      <c r="K996" s="11"/>
      <c r="L996" s="15"/>
      <c r="M996" s="15"/>
      <c r="N996" s="15"/>
      <c r="O996" s="15"/>
      <c r="P996" s="15"/>
      <c r="Q996" s="11"/>
      <c r="R996" s="11"/>
      <c r="S996" s="11"/>
      <c r="T996" s="11"/>
      <c r="U996" s="15"/>
      <c r="V996" s="11"/>
      <c r="W996" s="11"/>
      <c r="X996" s="11"/>
      <c r="Y996" s="11"/>
      <c r="Z996" s="11"/>
    </row>
    <row r="997">
      <c r="A997" s="18"/>
      <c r="B997" s="11"/>
      <c r="C997" s="11"/>
      <c r="D997" s="11"/>
      <c r="E997" s="11"/>
      <c r="F997" s="11"/>
      <c r="G997" s="11"/>
      <c r="H997" s="11"/>
      <c r="I997" s="11"/>
      <c r="J997" s="11"/>
      <c r="K997" s="11"/>
      <c r="L997" s="15"/>
      <c r="M997" s="15"/>
      <c r="N997" s="15"/>
      <c r="O997" s="15"/>
      <c r="P997" s="15"/>
      <c r="Q997" s="11"/>
      <c r="R997" s="11"/>
      <c r="S997" s="11"/>
      <c r="T997" s="11"/>
      <c r="U997" s="15"/>
      <c r="V997" s="11"/>
      <c r="W997" s="11"/>
      <c r="X997" s="11"/>
      <c r="Y997" s="11"/>
      <c r="Z997" s="11"/>
    </row>
    <row r="998">
      <c r="A998" s="18"/>
      <c r="B998" s="11"/>
      <c r="C998" s="11"/>
      <c r="D998" s="11"/>
      <c r="E998" s="11"/>
      <c r="F998" s="11"/>
      <c r="G998" s="11"/>
      <c r="H998" s="11"/>
      <c r="I998" s="11"/>
      <c r="J998" s="11"/>
      <c r="K998" s="11"/>
      <c r="L998" s="15"/>
      <c r="M998" s="15"/>
      <c r="N998" s="15"/>
      <c r="O998" s="15"/>
      <c r="P998" s="15"/>
      <c r="Q998" s="11"/>
      <c r="R998" s="11"/>
      <c r="S998" s="11"/>
      <c r="T998" s="11"/>
      <c r="U998" s="15"/>
      <c r="V998" s="11"/>
      <c r="W998" s="11"/>
      <c r="X998" s="11"/>
      <c r="Y998" s="11"/>
      <c r="Z998" s="11"/>
    </row>
    <row r="999">
      <c r="A999" s="18"/>
      <c r="B999" s="11"/>
      <c r="C999" s="11"/>
      <c r="D999" s="11"/>
      <c r="E999" s="11"/>
      <c r="F999" s="11"/>
      <c r="G999" s="11"/>
      <c r="H999" s="11"/>
      <c r="I999" s="11"/>
      <c r="J999" s="11"/>
      <c r="K999" s="11"/>
      <c r="L999" s="15"/>
      <c r="M999" s="15"/>
      <c r="N999" s="15"/>
      <c r="O999" s="15"/>
      <c r="P999" s="15"/>
      <c r="Q999" s="11"/>
      <c r="R999" s="11"/>
      <c r="S999" s="11"/>
      <c r="T999" s="11"/>
      <c r="U999" s="15"/>
      <c r="V999" s="11"/>
      <c r="W999" s="11"/>
      <c r="X999" s="11"/>
      <c r="Y999" s="11"/>
      <c r="Z999" s="11"/>
    </row>
    <row r="1000">
      <c r="A1000" s="18"/>
      <c r="B1000" s="11"/>
      <c r="C1000" s="11"/>
      <c r="D1000" s="11"/>
      <c r="E1000" s="11"/>
      <c r="F1000" s="11"/>
      <c r="G1000" s="11"/>
      <c r="H1000" s="11"/>
      <c r="I1000" s="11"/>
      <c r="J1000" s="11"/>
      <c r="K1000" s="11"/>
      <c r="L1000" s="15"/>
      <c r="M1000" s="15"/>
      <c r="N1000" s="15"/>
      <c r="O1000" s="15"/>
      <c r="P1000" s="15"/>
      <c r="Q1000" s="11"/>
      <c r="R1000" s="11"/>
      <c r="S1000" s="11"/>
      <c r="T1000" s="11"/>
      <c r="U1000" s="15"/>
      <c r="V1000" s="11"/>
      <c r="W1000" s="11"/>
      <c r="X1000" s="11"/>
      <c r="Y1000" s="11"/>
      <c r="Z1000" s="11"/>
    </row>
    <row r="1001">
      <c r="A1001" s="18"/>
      <c r="B1001" s="11"/>
      <c r="C1001" s="11"/>
      <c r="D1001" s="11"/>
      <c r="E1001" s="11"/>
      <c r="F1001" s="11"/>
      <c r="G1001" s="11"/>
      <c r="H1001" s="11"/>
      <c r="I1001" s="11"/>
      <c r="J1001" s="11"/>
      <c r="K1001" s="11"/>
      <c r="L1001" s="15"/>
      <c r="M1001" s="15"/>
      <c r="N1001" s="15"/>
      <c r="O1001" s="15"/>
      <c r="P1001" s="15"/>
      <c r="Q1001" s="11"/>
      <c r="R1001" s="11"/>
      <c r="S1001" s="11"/>
      <c r="T1001" s="11"/>
      <c r="U1001" s="15"/>
      <c r="V1001" s="11"/>
      <c r="W1001" s="11"/>
      <c r="X1001" s="11"/>
      <c r="Y1001" s="11"/>
      <c r="Z1001" s="11"/>
    </row>
    <row r="1002">
      <c r="A1002" s="18"/>
      <c r="B1002" s="11"/>
      <c r="C1002" s="11"/>
      <c r="D1002" s="11"/>
      <c r="E1002" s="11"/>
      <c r="F1002" s="11"/>
      <c r="G1002" s="11"/>
      <c r="H1002" s="11"/>
      <c r="I1002" s="11"/>
      <c r="J1002" s="11"/>
      <c r="K1002" s="11"/>
      <c r="L1002" s="15"/>
      <c r="M1002" s="15"/>
      <c r="N1002" s="15"/>
      <c r="O1002" s="15"/>
      <c r="P1002" s="15"/>
      <c r="Q1002" s="11"/>
      <c r="R1002" s="11"/>
      <c r="S1002" s="11"/>
      <c r="T1002" s="11"/>
      <c r="U1002" s="15"/>
      <c r="V1002" s="11"/>
      <c r="W1002" s="11"/>
      <c r="X1002" s="11"/>
      <c r="Y1002" s="11"/>
      <c r="Z1002" s="11"/>
    </row>
    <row r="1003">
      <c r="A1003" s="18"/>
      <c r="B1003" s="11"/>
      <c r="C1003" s="11"/>
      <c r="D1003" s="11"/>
      <c r="E1003" s="11"/>
      <c r="F1003" s="11"/>
      <c r="G1003" s="11"/>
      <c r="H1003" s="11"/>
      <c r="I1003" s="11"/>
      <c r="J1003" s="11"/>
      <c r="K1003" s="11"/>
      <c r="L1003" s="15"/>
      <c r="M1003" s="15"/>
      <c r="N1003" s="15"/>
      <c r="O1003" s="15"/>
      <c r="P1003" s="15"/>
      <c r="Q1003" s="11"/>
      <c r="R1003" s="11"/>
      <c r="S1003" s="11"/>
      <c r="T1003" s="11"/>
      <c r="U1003" s="15"/>
      <c r="V1003" s="11"/>
      <c r="W1003" s="11"/>
      <c r="X1003" s="11"/>
      <c r="Y1003" s="11"/>
      <c r="Z1003" s="11"/>
    </row>
    <row r="1004">
      <c r="A1004" s="18"/>
      <c r="B1004" s="11"/>
      <c r="C1004" s="11"/>
      <c r="D1004" s="11"/>
      <c r="E1004" s="11"/>
      <c r="F1004" s="11"/>
      <c r="G1004" s="11"/>
      <c r="H1004" s="11"/>
      <c r="I1004" s="11"/>
      <c r="J1004" s="11"/>
      <c r="K1004" s="11"/>
      <c r="L1004" s="15"/>
      <c r="M1004" s="15"/>
      <c r="N1004" s="15"/>
      <c r="O1004" s="15"/>
      <c r="P1004" s="15"/>
      <c r="Q1004" s="11"/>
      <c r="R1004" s="11"/>
      <c r="S1004" s="11"/>
      <c r="T1004" s="11"/>
      <c r="U1004" s="15"/>
      <c r="V1004" s="11"/>
      <c r="W1004" s="11"/>
      <c r="X1004" s="11"/>
      <c r="Y1004" s="11"/>
      <c r="Z1004" s="11"/>
    </row>
    <row r="1005">
      <c r="A1005" s="18"/>
      <c r="B1005" s="11"/>
      <c r="C1005" s="11"/>
      <c r="D1005" s="11"/>
      <c r="E1005" s="11"/>
      <c r="F1005" s="11"/>
      <c r="G1005" s="11"/>
      <c r="H1005" s="11"/>
      <c r="I1005" s="11"/>
      <c r="J1005" s="11"/>
      <c r="K1005" s="11"/>
      <c r="L1005" s="15"/>
      <c r="M1005" s="15"/>
      <c r="N1005" s="15"/>
      <c r="O1005" s="15"/>
      <c r="P1005" s="15"/>
      <c r="Q1005" s="11"/>
      <c r="R1005" s="11"/>
      <c r="S1005" s="11"/>
      <c r="T1005" s="11"/>
      <c r="U1005" s="15"/>
      <c r="V1005" s="11"/>
      <c r="W1005" s="11"/>
      <c r="X1005" s="11"/>
      <c r="Y1005" s="11"/>
      <c r="Z1005" s="11"/>
    </row>
    <row r="1006">
      <c r="A1006" s="18"/>
      <c r="B1006" s="11"/>
      <c r="C1006" s="11"/>
      <c r="D1006" s="11"/>
      <c r="E1006" s="11"/>
      <c r="F1006" s="11"/>
      <c r="G1006" s="11"/>
      <c r="H1006" s="11"/>
      <c r="I1006" s="11"/>
      <c r="J1006" s="11"/>
      <c r="K1006" s="11"/>
      <c r="L1006" s="15"/>
      <c r="M1006" s="15"/>
      <c r="N1006" s="15"/>
      <c r="O1006" s="15"/>
      <c r="P1006" s="15"/>
      <c r="Q1006" s="11"/>
      <c r="R1006" s="11"/>
      <c r="S1006" s="11"/>
      <c r="T1006" s="11"/>
      <c r="U1006" s="15"/>
      <c r="V1006" s="11"/>
      <c r="W1006" s="11"/>
      <c r="X1006" s="11"/>
      <c r="Y1006" s="11"/>
      <c r="Z1006" s="11"/>
    </row>
    <row r="1007">
      <c r="A1007" s="18"/>
      <c r="B1007" s="11"/>
      <c r="C1007" s="11"/>
      <c r="D1007" s="11"/>
      <c r="E1007" s="11"/>
      <c r="F1007" s="11"/>
      <c r="G1007" s="11"/>
      <c r="H1007" s="11"/>
      <c r="I1007" s="11"/>
      <c r="J1007" s="11"/>
      <c r="K1007" s="11"/>
      <c r="L1007" s="15"/>
      <c r="M1007" s="15"/>
      <c r="N1007" s="15"/>
      <c r="O1007" s="15"/>
      <c r="P1007" s="15"/>
      <c r="Q1007" s="11"/>
      <c r="R1007" s="11"/>
      <c r="S1007" s="11"/>
      <c r="T1007" s="11"/>
      <c r="U1007" s="15"/>
      <c r="V1007" s="11"/>
      <c r="W1007" s="11"/>
      <c r="X1007" s="11"/>
      <c r="Y1007" s="11"/>
      <c r="Z1007" s="11"/>
    </row>
    <row r="1008">
      <c r="A1008" s="18"/>
      <c r="B1008" s="11"/>
      <c r="C1008" s="11"/>
      <c r="D1008" s="11"/>
      <c r="E1008" s="11"/>
      <c r="F1008" s="11"/>
      <c r="G1008" s="11"/>
      <c r="H1008" s="11"/>
      <c r="I1008" s="11"/>
      <c r="J1008" s="11"/>
      <c r="K1008" s="11"/>
      <c r="L1008" s="15"/>
      <c r="M1008" s="15"/>
      <c r="N1008" s="15"/>
      <c r="O1008" s="15"/>
      <c r="P1008" s="15"/>
      <c r="Q1008" s="11"/>
      <c r="R1008" s="11"/>
      <c r="S1008" s="11"/>
      <c r="T1008" s="11"/>
      <c r="U1008" s="15"/>
      <c r="V1008" s="11"/>
      <c r="W1008" s="11"/>
      <c r="X1008" s="11"/>
      <c r="Y1008" s="11"/>
      <c r="Z1008" s="11"/>
    </row>
    <row r="1009">
      <c r="A1009" s="18"/>
      <c r="B1009" s="11"/>
      <c r="C1009" s="11"/>
      <c r="D1009" s="11"/>
      <c r="E1009" s="11"/>
      <c r="F1009" s="11"/>
      <c r="G1009" s="11"/>
      <c r="H1009" s="11"/>
      <c r="I1009" s="11"/>
      <c r="J1009" s="11"/>
      <c r="K1009" s="11"/>
      <c r="L1009" s="15"/>
      <c r="M1009" s="15"/>
      <c r="N1009" s="15"/>
      <c r="O1009" s="15"/>
      <c r="P1009" s="15"/>
      <c r="Q1009" s="11"/>
      <c r="R1009" s="11"/>
      <c r="S1009" s="11"/>
      <c r="T1009" s="11"/>
      <c r="U1009" s="15"/>
      <c r="V1009" s="11"/>
      <c r="W1009" s="11"/>
      <c r="X1009" s="11"/>
      <c r="Y1009" s="11"/>
      <c r="Z1009" s="11"/>
    </row>
    <row r="1010">
      <c r="A1010" s="18"/>
      <c r="B1010" s="11"/>
      <c r="C1010" s="11"/>
      <c r="D1010" s="11"/>
      <c r="E1010" s="11"/>
      <c r="F1010" s="11"/>
      <c r="G1010" s="11"/>
      <c r="H1010" s="11"/>
      <c r="I1010" s="11"/>
      <c r="J1010" s="11"/>
      <c r="K1010" s="11"/>
      <c r="L1010" s="15"/>
      <c r="M1010" s="15"/>
      <c r="N1010" s="15"/>
      <c r="O1010" s="15"/>
      <c r="P1010" s="15"/>
      <c r="Q1010" s="11"/>
      <c r="R1010" s="11"/>
      <c r="S1010" s="11"/>
      <c r="T1010" s="11"/>
      <c r="U1010" s="15"/>
      <c r="V1010" s="11"/>
      <c r="W1010" s="11"/>
      <c r="X1010" s="11"/>
      <c r="Y1010" s="11"/>
      <c r="Z1010" s="11"/>
    </row>
    <row r="1011">
      <c r="A1011" s="18"/>
      <c r="B1011" s="11"/>
      <c r="C1011" s="11"/>
      <c r="D1011" s="11"/>
      <c r="E1011" s="11"/>
      <c r="F1011" s="11"/>
      <c r="G1011" s="11"/>
      <c r="H1011" s="11"/>
      <c r="I1011" s="11"/>
      <c r="J1011" s="11"/>
      <c r="K1011" s="11"/>
      <c r="L1011" s="15"/>
      <c r="M1011" s="15"/>
      <c r="N1011" s="15"/>
      <c r="O1011" s="15"/>
      <c r="P1011" s="15"/>
      <c r="Q1011" s="11"/>
      <c r="R1011" s="11"/>
      <c r="S1011" s="11"/>
      <c r="T1011" s="11"/>
      <c r="U1011" s="15"/>
      <c r="V1011" s="11"/>
      <c r="W1011" s="11"/>
      <c r="X1011" s="11"/>
      <c r="Y1011" s="11"/>
      <c r="Z1011" s="11"/>
    </row>
    <row r="1012">
      <c r="A1012" s="18"/>
      <c r="B1012" s="11"/>
      <c r="C1012" s="11"/>
      <c r="D1012" s="11"/>
      <c r="E1012" s="11"/>
      <c r="F1012" s="11"/>
      <c r="G1012" s="11"/>
      <c r="H1012" s="11"/>
      <c r="I1012" s="11"/>
      <c r="J1012" s="11"/>
      <c r="K1012" s="11"/>
      <c r="L1012" s="15"/>
      <c r="M1012" s="15"/>
      <c r="N1012" s="15"/>
      <c r="O1012" s="15"/>
      <c r="P1012" s="15"/>
      <c r="Q1012" s="11"/>
      <c r="R1012" s="11"/>
      <c r="S1012" s="11"/>
      <c r="T1012" s="11"/>
      <c r="U1012" s="15"/>
      <c r="V1012" s="11"/>
      <c r="W1012" s="11"/>
      <c r="X1012" s="11"/>
      <c r="Y1012" s="11"/>
      <c r="Z1012" s="11"/>
    </row>
    <row r="1013">
      <c r="A1013" s="18"/>
      <c r="B1013" s="11"/>
      <c r="C1013" s="11"/>
      <c r="D1013" s="11"/>
      <c r="E1013" s="11"/>
      <c r="F1013" s="11"/>
      <c r="G1013" s="11"/>
      <c r="H1013" s="11"/>
      <c r="I1013" s="11"/>
      <c r="J1013" s="11"/>
      <c r="K1013" s="11"/>
      <c r="L1013" s="15"/>
      <c r="M1013" s="15"/>
      <c r="N1013" s="15"/>
      <c r="O1013" s="15"/>
      <c r="P1013" s="15"/>
      <c r="Q1013" s="11"/>
      <c r="R1013" s="11"/>
      <c r="S1013" s="11"/>
      <c r="T1013" s="11"/>
      <c r="U1013" s="15"/>
      <c r="V1013" s="11"/>
      <c r="W1013" s="11"/>
      <c r="X1013" s="11"/>
      <c r="Y1013" s="11"/>
      <c r="Z1013" s="11"/>
    </row>
    <row r="1014">
      <c r="A1014" s="18"/>
      <c r="B1014" s="11"/>
      <c r="C1014" s="11"/>
      <c r="D1014" s="11"/>
      <c r="E1014" s="11"/>
      <c r="F1014" s="11"/>
      <c r="G1014" s="11"/>
      <c r="H1014" s="11"/>
      <c r="I1014" s="11"/>
      <c r="J1014" s="11"/>
      <c r="K1014" s="11"/>
      <c r="L1014" s="15"/>
      <c r="M1014" s="15"/>
      <c r="N1014" s="15"/>
      <c r="O1014" s="15"/>
      <c r="P1014" s="15"/>
      <c r="Q1014" s="11"/>
      <c r="R1014" s="11"/>
      <c r="S1014" s="11"/>
      <c r="T1014" s="11"/>
      <c r="U1014" s="15"/>
      <c r="V1014" s="11"/>
      <c r="W1014" s="11"/>
      <c r="X1014" s="11"/>
      <c r="Y1014" s="11"/>
      <c r="Z1014" s="11"/>
    </row>
    <row r="1015">
      <c r="A1015" s="18"/>
      <c r="B1015" s="11"/>
      <c r="C1015" s="11"/>
      <c r="D1015" s="11"/>
      <c r="E1015" s="11"/>
      <c r="F1015" s="11"/>
      <c r="G1015" s="11"/>
      <c r="H1015" s="11"/>
      <c r="I1015" s="11"/>
      <c r="J1015" s="11"/>
      <c r="K1015" s="11"/>
      <c r="L1015" s="15"/>
      <c r="M1015" s="15"/>
      <c r="N1015" s="15"/>
      <c r="O1015" s="15"/>
      <c r="P1015" s="15"/>
      <c r="Q1015" s="11"/>
      <c r="R1015" s="11"/>
      <c r="S1015" s="11"/>
      <c r="T1015" s="11"/>
      <c r="U1015" s="15"/>
      <c r="V1015" s="11"/>
      <c r="W1015" s="11"/>
      <c r="X1015" s="11"/>
      <c r="Y1015" s="11"/>
      <c r="Z1015" s="11"/>
    </row>
    <row r="1016">
      <c r="A1016" s="18"/>
      <c r="B1016" s="11"/>
      <c r="C1016" s="11"/>
      <c r="D1016" s="11"/>
      <c r="E1016" s="11"/>
      <c r="F1016" s="11"/>
      <c r="G1016" s="11"/>
      <c r="H1016" s="11"/>
      <c r="I1016" s="11"/>
      <c r="J1016" s="11"/>
      <c r="K1016" s="11"/>
      <c r="L1016" s="15"/>
      <c r="M1016" s="15"/>
      <c r="N1016" s="15"/>
      <c r="O1016" s="15"/>
      <c r="P1016" s="15"/>
      <c r="Q1016" s="11"/>
      <c r="R1016" s="11"/>
      <c r="S1016" s="11"/>
      <c r="T1016" s="11"/>
      <c r="U1016" s="15"/>
      <c r="V1016" s="11"/>
      <c r="W1016" s="11"/>
      <c r="X1016" s="11"/>
      <c r="Y1016" s="11"/>
      <c r="Z1016" s="11"/>
    </row>
    <row r="1017">
      <c r="A1017" s="18"/>
      <c r="B1017" s="11"/>
      <c r="C1017" s="11"/>
      <c r="D1017" s="11"/>
      <c r="E1017" s="11"/>
      <c r="F1017" s="11"/>
      <c r="G1017" s="11"/>
      <c r="H1017" s="11"/>
      <c r="I1017" s="11"/>
      <c r="J1017" s="11"/>
      <c r="K1017" s="11"/>
      <c r="L1017" s="15"/>
      <c r="M1017" s="15"/>
      <c r="N1017" s="15"/>
      <c r="O1017" s="15"/>
      <c r="P1017" s="15"/>
      <c r="Q1017" s="11"/>
      <c r="R1017" s="11"/>
      <c r="S1017" s="11"/>
      <c r="T1017" s="11"/>
      <c r="U1017" s="15"/>
      <c r="V1017" s="11"/>
      <c r="W1017" s="11"/>
      <c r="X1017" s="11"/>
      <c r="Y1017" s="11"/>
      <c r="Z1017" s="11"/>
    </row>
    <row r="1018">
      <c r="A1018" s="18"/>
      <c r="B1018" s="11"/>
      <c r="C1018" s="11"/>
      <c r="D1018" s="11"/>
      <c r="E1018" s="11"/>
      <c r="F1018" s="11"/>
      <c r="G1018" s="11"/>
      <c r="H1018" s="11"/>
      <c r="I1018" s="11"/>
      <c r="J1018" s="11"/>
      <c r="K1018" s="11"/>
      <c r="L1018" s="15"/>
      <c r="M1018" s="15"/>
      <c r="N1018" s="15"/>
      <c r="O1018" s="15"/>
      <c r="P1018" s="15"/>
      <c r="Q1018" s="11"/>
      <c r="R1018" s="11"/>
      <c r="S1018" s="11"/>
      <c r="T1018" s="11"/>
      <c r="U1018" s="15"/>
      <c r="V1018" s="11"/>
      <c r="W1018" s="11"/>
      <c r="X1018" s="11"/>
      <c r="Y1018" s="11"/>
      <c r="Z1018" s="11"/>
    </row>
    <row r="1019">
      <c r="A1019" s="18"/>
      <c r="B1019" s="11"/>
      <c r="C1019" s="11"/>
      <c r="D1019" s="11"/>
      <c r="E1019" s="11"/>
      <c r="F1019" s="11"/>
      <c r="G1019" s="11"/>
      <c r="H1019" s="11"/>
      <c r="I1019" s="11"/>
      <c r="J1019" s="11"/>
      <c r="K1019" s="11"/>
      <c r="L1019" s="15"/>
      <c r="M1019" s="15"/>
      <c r="N1019" s="15"/>
      <c r="O1019" s="15"/>
      <c r="P1019" s="15"/>
      <c r="Q1019" s="11"/>
      <c r="R1019" s="11"/>
      <c r="S1019" s="11"/>
      <c r="T1019" s="11"/>
      <c r="U1019" s="15"/>
      <c r="V1019" s="11"/>
      <c r="W1019" s="11"/>
      <c r="X1019" s="11"/>
      <c r="Y1019" s="11"/>
      <c r="Z1019" s="11"/>
    </row>
    <row r="1020">
      <c r="A1020" s="18"/>
      <c r="B1020" s="11"/>
      <c r="C1020" s="11"/>
      <c r="D1020" s="11"/>
      <c r="E1020" s="11"/>
      <c r="F1020" s="11"/>
      <c r="G1020" s="11"/>
      <c r="H1020" s="11"/>
      <c r="I1020" s="11"/>
      <c r="J1020" s="11"/>
      <c r="K1020" s="11"/>
      <c r="L1020" s="15"/>
      <c r="M1020" s="15"/>
      <c r="N1020" s="15"/>
      <c r="O1020" s="15"/>
      <c r="P1020" s="15"/>
      <c r="Q1020" s="11"/>
      <c r="R1020" s="11"/>
      <c r="S1020" s="11"/>
      <c r="T1020" s="11"/>
      <c r="U1020" s="15"/>
      <c r="V1020" s="11"/>
      <c r="W1020" s="11"/>
      <c r="X1020" s="11"/>
      <c r="Y1020" s="11"/>
      <c r="Z1020" s="11"/>
    </row>
    <row r="1021">
      <c r="A1021" s="18"/>
      <c r="B1021" s="11"/>
      <c r="C1021" s="11"/>
      <c r="D1021" s="11"/>
      <c r="E1021" s="11"/>
      <c r="F1021" s="11"/>
      <c r="G1021" s="11"/>
      <c r="H1021" s="11"/>
      <c r="I1021" s="11"/>
      <c r="J1021" s="11"/>
      <c r="K1021" s="11"/>
      <c r="L1021" s="15"/>
      <c r="M1021" s="15"/>
      <c r="N1021" s="15"/>
      <c r="O1021" s="15"/>
      <c r="P1021" s="15"/>
      <c r="Q1021" s="11"/>
      <c r="R1021" s="11"/>
      <c r="S1021" s="11"/>
      <c r="T1021" s="11"/>
      <c r="U1021" s="15"/>
      <c r="V1021" s="11"/>
      <c r="W1021" s="11"/>
      <c r="X1021" s="11"/>
      <c r="Y1021" s="11"/>
      <c r="Z1021" s="11"/>
    </row>
    <row r="1022">
      <c r="A1022" s="18"/>
      <c r="B1022" s="11"/>
      <c r="C1022" s="11"/>
      <c r="D1022" s="11"/>
      <c r="E1022" s="11"/>
      <c r="F1022" s="11"/>
      <c r="G1022" s="11"/>
      <c r="H1022" s="11"/>
      <c r="I1022" s="11"/>
      <c r="J1022" s="11"/>
      <c r="K1022" s="11"/>
      <c r="L1022" s="15"/>
      <c r="M1022" s="15"/>
      <c r="N1022" s="15"/>
      <c r="O1022" s="15"/>
      <c r="P1022" s="15"/>
      <c r="Q1022" s="11"/>
      <c r="R1022" s="11"/>
      <c r="S1022" s="11"/>
      <c r="T1022" s="11"/>
      <c r="U1022" s="15"/>
      <c r="V1022" s="11"/>
      <c r="W1022" s="11"/>
      <c r="X1022" s="11"/>
      <c r="Y1022" s="11"/>
      <c r="Z1022" s="11"/>
    </row>
    <row r="1023">
      <c r="A1023" s="18"/>
      <c r="B1023" s="11"/>
      <c r="C1023" s="11"/>
      <c r="D1023" s="11"/>
      <c r="E1023" s="11"/>
      <c r="F1023" s="11"/>
      <c r="G1023" s="11"/>
      <c r="H1023" s="11"/>
      <c r="I1023" s="11"/>
      <c r="J1023" s="11"/>
      <c r="K1023" s="11"/>
      <c r="L1023" s="15"/>
      <c r="M1023" s="15"/>
      <c r="N1023" s="15"/>
      <c r="O1023" s="15"/>
      <c r="P1023" s="15"/>
      <c r="Q1023" s="11"/>
      <c r="R1023" s="11"/>
      <c r="S1023" s="11"/>
      <c r="T1023" s="11"/>
      <c r="U1023" s="15"/>
      <c r="V1023" s="11"/>
      <c r="W1023" s="11"/>
      <c r="X1023" s="11"/>
      <c r="Y1023" s="11"/>
      <c r="Z1023" s="11"/>
    </row>
    <row r="1024">
      <c r="A1024" s="18"/>
      <c r="B1024" s="11"/>
      <c r="C1024" s="11"/>
      <c r="D1024" s="11"/>
      <c r="E1024" s="11"/>
      <c r="F1024" s="11"/>
      <c r="G1024" s="11"/>
      <c r="H1024" s="11"/>
      <c r="I1024" s="11"/>
      <c r="J1024" s="11"/>
      <c r="K1024" s="11"/>
      <c r="L1024" s="15"/>
      <c r="M1024" s="15"/>
      <c r="N1024" s="15"/>
      <c r="O1024" s="15"/>
      <c r="P1024" s="15"/>
      <c r="Q1024" s="11"/>
      <c r="R1024" s="11"/>
      <c r="S1024" s="11"/>
      <c r="T1024" s="11"/>
      <c r="U1024" s="15"/>
      <c r="V1024" s="11"/>
      <c r="W1024" s="11"/>
      <c r="X1024" s="11"/>
      <c r="Y1024" s="11"/>
      <c r="Z1024" s="11"/>
    </row>
    <row r="1025">
      <c r="A1025" s="18"/>
      <c r="B1025" s="11"/>
      <c r="C1025" s="11"/>
      <c r="D1025" s="11"/>
      <c r="E1025" s="11"/>
      <c r="F1025" s="11"/>
      <c r="G1025" s="11"/>
      <c r="H1025" s="11"/>
      <c r="I1025" s="11"/>
      <c r="J1025" s="11"/>
      <c r="K1025" s="11"/>
      <c r="L1025" s="15"/>
      <c r="M1025" s="15"/>
      <c r="N1025" s="15"/>
      <c r="O1025" s="15"/>
      <c r="P1025" s="15"/>
      <c r="Q1025" s="11"/>
      <c r="R1025" s="11"/>
      <c r="S1025" s="11"/>
      <c r="T1025" s="11"/>
      <c r="U1025" s="15"/>
      <c r="V1025" s="11"/>
      <c r="W1025" s="11"/>
      <c r="X1025" s="11"/>
      <c r="Y1025" s="11"/>
      <c r="Z1025" s="11"/>
    </row>
    <row r="1026">
      <c r="A1026" s="18"/>
      <c r="B1026" s="11"/>
      <c r="C1026" s="11"/>
      <c r="D1026" s="11"/>
      <c r="E1026" s="11"/>
      <c r="F1026" s="11"/>
      <c r="G1026" s="11"/>
      <c r="H1026" s="11"/>
      <c r="I1026" s="11"/>
      <c r="J1026" s="11"/>
      <c r="K1026" s="11"/>
      <c r="L1026" s="15"/>
      <c r="M1026" s="15"/>
      <c r="N1026" s="15"/>
      <c r="O1026" s="15"/>
      <c r="P1026" s="15"/>
      <c r="Q1026" s="11"/>
      <c r="R1026" s="11"/>
      <c r="S1026" s="11"/>
      <c r="T1026" s="11"/>
      <c r="U1026" s="15"/>
      <c r="V1026" s="11"/>
      <c r="W1026" s="11"/>
      <c r="X1026" s="11"/>
      <c r="Y1026" s="11"/>
      <c r="Z1026" s="11"/>
    </row>
    <row r="1027">
      <c r="A1027" s="18"/>
      <c r="B1027" s="11"/>
      <c r="C1027" s="11"/>
      <c r="D1027" s="11"/>
      <c r="E1027" s="11"/>
      <c r="F1027" s="11"/>
      <c r="G1027" s="11"/>
      <c r="H1027" s="11"/>
      <c r="I1027" s="11"/>
      <c r="J1027" s="11"/>
      <c r="K1027" s="11"/>
      <c r="L1027" s="15"/>
      <c r="M1027" s="15"/>
      <c r="N1027" s="15"/>
      <c r="O1027" s="15"/>
      <c r="P1027" s="15"/>
      <c r="Q1027" s="11"/>
      <c r="R1027" s="11"/>
      <c r="S1027" s="11"/>
      <c r="T1027" s="11"/>
      <c r="U1027" s="15"/>
      <c r="V1027" s="11"/>
      <c r="W1027" s="11"/>
      <c r="X1027" s="11"/>
      <c r="Y1027" s="11"/>
      <c r="Z1027" s="11"/>
    </row>
    <row r="1028">
      <c r="A1028" s="18"/>
      <c r="B1028" s="11"/>
      <c r="C1028" s="11"/>
      <c r="D1028" s="11"/>
      <c r="E1028" s="11"/>
      <c r="F1028" s="11"/>
      <c r="G1028" s="11"/>
      <c r="H1028" s="11"/>
      <c r="I1028" s="11"/>
      <c r="J1028" s="11"/>
      <c r="K1028" s="11"/>
      <c r="L1028" s="15"/>
      <c r="M1028" s="15"/>
      <c r="N1028" s="15"/>
      <c r="O1028" s="15"/>
      <c r="P1028" s="15"/>
      <c r="Q1028" s="11"/>
      <c r="R1028" s="11"/>
      <c r="S1028" s="11"/>
      <c r="T1028" s="11"/>
      <c r="U1028" s="15"/>
      <c r="V1028" s="11"/>
      <c r="W1028" s="11"/>
      <c r="X1028" s="11"/>
      <c r="Y1028" s="11"/>
      <c r="Z1028" s="11"/>
    </row>
    <row r="1029">
      <c r="A1029" s="18"/>
      <c r="B1029" s="11"/>
      <c r="C1029" s="11"/>
      <c r="D1029" s="11"/>
      <c r="E1029" s="11"/>
      <c r="F1029" s="11"/>
      <c r="G1029" s="11"/>
      <c r="H1029" s="11"/>
      <c r="I1029" s="11"/>
      <c r="J1029" s="11"/>
      <c r="K1029" s="11"/>
      <c r="L1029" s="15"/>
      <c r="M1029" s="15"/>
      <c r="N1029" s="15"/>
      <c r="O1029" s="15"/>
      <c r="P1029" s="15"/>
      <c r="Q1029" s="11"/>
      <c r="R1029" s="11"/>
      <c r="S1029" s="11"/>
      <c r="T1029" s="11"/>
      <c r="U1029" s="15"/>
      <c r="V1029" s="11"/>
      <c r="W1029" s="11"/>
      <c r="X1029" s="11"/>
      <c r="Y1029" s="11"/>
      <c r="Z1029" s="11"/>
    </row>
    <row r="1030">
      <c r="A1030" s="18"/>
      <c r="B1030" s="11"/>
      <c r="C1030" s="11"/>
      <c r="D1030" s="11"/>
      <c r="E1030" s="11"/>
      <c r="F1030" s="11"/>
      <c r="G1030" s="11"/>
      <c r="H1030" s="11"/>
      <c r="I1030" s="11"/>
      <c r="J1030" s="11"/>
      <c r="K1030" s="11"/>
      <c r="L1030" s="15"/>
      <c r="M1030" s="15"/>
      <c r="N1030" s="15"/>
      <c r="O1030" s="15"/>
      <c r="P1030" s="15"/>
      <c r="Q1030" s="11"/>
      <c r="R1030" s="11"/>
      <c r="S1030" s="11"/>
      <c r="T1030" s="11"/>
      <c r="U1030" s="15"/>
      <c r="V1030" s="11"/>
      <c r="W1030" s="11"/>
      <c r="X1030" s="11"/>
      <c r="Y1030" s="11"/>
      <c r="Z1030" s="11"/>
    </row>
    <row r="1031">
      <c r="A1031" s="18"/>
      <c r="B1031" s="11"/>
      <c r="C1031" s="11"/>
      <c r="D1031" s="11"/>
      <c r="E1031" s="11"/>
      <c r="F1031" s="11"/>
      <c r="G1031" s="11"/>
      <c r="H1031" s="11"/>
      <c r="I1031" s="11"/>
      <c r="J1031" s="11"/>
      <c r="K1031" s="11"/>
      <c r="L1031" s="15"/>
      <c r="M1031" s="15"/>
      <c r="N1031" s="15"/>
      <c r="O1031" s="15"/>
      <c r="P1031" s="15"/>
      <c r="Q1031" s="11"/>
      <c r="R1031" s="11"/>
      <c r="S1031" s="11"/>
      <c r="T1031" s="11"/>
      <c r="U1031" s="15"/>
      <c r="V1031" s="11"/>
      <c r="W1031" s="11"/>
      <c r="X1031" s="11"/>
      <c r="Y1031" s="11"/>
      <c r="Z1031" s="11"/>
    </row>
    <row r="1032">
      <c r="A1032" s="18"/>
      <c r="B1032" s="11"/>
      <c r="C1032" s="11"/>
      <c r="D1032" s="11"/>
      <c r="E1032" s="11"/>
      <c r="F1032" s="11"/>
      <c r="G1032" s="11"/>
      <c r="H1032" s="11"/>
      <c r="I1032" s="11"/>
      <c r="J1032" s="11"/>
      <c r="K1032" s="11"/>
      <c r="L1032" s="15"/>
      <c r="M1032" s="15"/>
      <c r="N1032" s="15"/>
      <c r="O1032" s="15"/>
      <c r="P1032" s="15"/>
      <c r="Q1032" s="11"/>
      <c r="R1032" s="11"/>
      <c r="S1032" s="11"/>
      <c r="T1032" s="11"/>
      <c r="U1032" s="15"/>
      <c r="V1032" s="11"/>
      <c r="W1032" s="11"/>
      <c r="X1032" s="11"/>
      <c r="Y1032" s="11"/>
      <c r="Z1032" s="11"/>
    </row>
    <row r="1033">
      <c r="A1033" s="18"/>
      <c r="B1033" s="11"/>
      <c r="C1033" s="11"/>
      <c r="D1033" s="11"/>
      <c r="E1033" s="11"/>
      <c r="F1033" s="11"/>
      <c r="G1033" s="11"/>
      <c r="H1033" s="11"/>
      <c r="I1033" s="11"/>
      <c r="J1033" s="11"/>
      <c r="K1033" s="11"/>
      <c r="L1033" s="15"/>
      <c r="M1033" s="15"/>
      <c r="N1033" s="15"/>
      <c r="O1033" s="15"/>
      <c r="P1033" s="15"/>
      <c r="Q1033" s="11"/>
      <c r="R1033" s="11"/>
      <c r="S1033" s="11"/>
      <c r="T1033" s="11"/>
      <c r="U1033" s="15"/>
      <c r="V1033" s="11"/>
      <c r="W1033" s="11"/>
      <c r="X1033" s="11"/>
      <c r="Y1033" s="11"/>
      <c r="Z1033" s="11"/>
    </row>
    <row r="1034">
      <c r="A1034" s="18"/>
      <c r="B1034" s="11"/>
      <c r="C1034" s="11"/>
      <c r="D1034" s="11"/>
      <c r="E1034" s="11"/>
      <c r="F1034" s="11"/>
      <c r="G1034" s="11"/>
      <c r="H1034" s="11"/>
      <c r="I1034" s="11"/>
      <c r="J1034" s="11"/>
      <c r="K1034" s="11"/>
      <c r="L1034" s="15"/>
      <c r="M1034" s="15"/>
      <c r="N1034" s="15"/>
      <c r="O1034" s="15"/>
      <c r="P1034" s="15"/>
      <c r="Q1034" s="11"/>
      <c r="R1034" s="11"/>
      <c r="S1034" s="11"/>
      <c r="T1034" s="11"/>
      <c r="U1034" s="15"/>
      <c r="V1034" s="11"/>
      <c r="W1034" s="11"/>
      <c r="X1034" s="11"/>
      <c r="Y1034" s="11"/>
      <c r="Z1034" s="11"/>
    </row>
    <row r="1035">
      <c r="A1035" s="18"/>
      <c r="B1035" s="11"/>
      <c r="C1035" s="11"/>
      <c r="D1035" s="11"/>
      <c r="E1035" s="11"/>
      <c r="F1035" s="11"/>
      <c r="G1035" s="11"/>
      <c r="H1035" s="11"/>
      <c r="I1035" s="11"/>
      <c r="J1035" s="11"/>
      <c r="K1035" s="11"/>
      <c r="L1035" s="15"/>
      <c r="M1035" s="15"/>
      <c r="N1035" s="15"/>
      <c r="O1035" s="15"/>
      <c r="P1035" s="15"/>
      <c r="Q1035" s="11"/>
      <c r="R1035" s="11"/>
      <c r="S1035" s="11"/>
      <c r="T1035" s="11"/>
      <c r="U1035" s="15"/>
      <c r="V1035" s="11"/>
      <c r="W1035" s="11"/>
      <c r="X1035" s="11"/>
      <c r="Y1035" s="11"/>
      <c r="Z1035" s="11"/>
    </row>
    <row r="1036">
      <c r="A1036" s="18"/>
      <c r="B1036" s="11"/>
      <c r="C1036" s="11"/>
      <c r="D1036" s="11"/>
      <c r="E1036" s="11"/>
      <c r="F1036" s="11"/>
      <c r="G1036" s="11"/>
      <c r="H1036" s="11"/>
      <c r="I1036" s="11"/>
      <c r="J1036" s="11"/>
      <c r="K1036" s="11"/>
      <c r="L1036" s="15"/>
      <c r="M1036" s="15"/>
      <c r="N1036" s="15"/>
      <c r="O1036" s="15"/>
      <c r="P1036" s="15"/>
      <c r="Q1036" s="11"/>
      <c r="R1036" s="11"/>
      <c r="S1036" s="11"/>
      <c r="T1036" s="11"/>
      <c r="U1036" s="15"/>
      <c r="V1036" s="11"/>
      <c r="W1036" s="11"/>
      <c r="X1036" s="11"/>
      <c r="Y1036" s="11"/>
      <c r="Z1036" s="11"/>
    </row>
    <row r="1037">
      <c r="A1037" s="18"/>
      <c r="B1037" s="11"/>
      <c r="C1037" s="11"/>
      <c r="D1037" s="11"/>
      <c r="E1037" s="11"/>
      <c r="F1037" s="11"/>
      <c r="G1037" s="11"/>
      <c r="H1037" s="11"/>
      <c r="I1037" s="11"/>
      <c r="J1037" s="11"/>
      <c r="K1037" s="11"/>
      <c r="L1037" s="15"/>
      <c r="M1037" s="15"/>
      <c r="N1037" s="15"/>
      <c r="O1037" s="15"/>
      <c r="P1037" s="15"/>
      <c r="Q1037" s="11"/>
      <c r="R1037" s="11"/>
      <c r="S1037" s="11"/>
      <c r="T1037" s="11"/>
      <c r="U1037" s="15"/>
      <c r="V1037" s="11"/>
      <c r="W1037" s="11"/>
      <c r="X1037" s="11"/>
      <c r="Y1037" s="11"/>
      <c r="Z1037" s="11"/>
    </row>
    <row r="1038">
      <c r="A1038" s="18"/>
      <c r="B1038" s="11"/>
      <c r="C1038" s="11"/>
      <c r="D1038" s="11"/>
      <c r="E1038" s="11"/>
      <c r="F1038" s="11"/>
      <c r="G1038" s="11"/>
      <c r="H1038" s="11"/>
      <c r="I1038" s="11"/>
      <c r="J1038" s="11"/>
      <c r="K1038" s="11"/>
      <c r="L1038" s="15"/>
      <c r="M1038" s="15"/>
      <c r="N1038" s="15"/>
      <c r="O1038" s="15"/>
      <c r="P1038" s="15"/>
      <c r="Q1038" s="11"/>
      <c r="R1038" s="11"/>
      <c r="S1038" s="11"/>
      <c r="T1038" s="11"/>
      <c r="U1038" s="15"/>
      <c r="V1038" s="11"/>
      <c r="W1038" s="11"/>
      <c r="X1038" s="11"/>
      <c r="Y1038" s="11"/>
      <c r="Z1038" s="11"/>
    </row>
    <row r="1039">
      <c r="A1039" s="18"/>
      <c r="B1039" s="11"/>
      <c r="C1039" s="11"/>
      <c r="D1039" s="11"/>
      <c r="E1039" s="11"/>
      <c r="F1039" s="11"/>
      <c r="G1039" s="11"/>
      <c r="H1039" s="11"/>
      <c r="I1039" s="11"/>
      <c r="J1039" s="11"/>
      <c r="K1039" s="11"/>
      <c r="L1039" s="15"/>
      <c r="M1039" s="15"/>
      <c r="N1039" s="15"/>
      <c r="O1039" s="15"/>
      <c r="P1039" s="15"/>
      <c r="Q1039" s="11"/>
      <c r="R1039" s="11"/>
      <c r="S1039" s="11"/>
      <c r="T1039" s="11"/>
      <c r="U1039" s="15"/>
      <c r="V1039" s="11"/>
      <c r="W1039" s="11"/>
      <c r="X1039" s="11"/>
      <c r="Y1039" s="11"/>
      <c r="Z1039" s="11"/>
    </row>
    <row r="1040">
      <c r="A1040" s="18"/>
      <c r="B1040" s="11"/>
      <c r="C1040" s="11"/>
      <c r="D1040" s="11"/>
      <c r="E1040" s="11"/>
      <c r="F1040" s="11"/>
      <c r="G1040" s="11"/>
      <c r="H1040" s="11"/>
      <c r="I1040" s="11"/>
      <c r="J1040" s="11"/>
      <c r="K1040" s="11"/>
      <c r="L1040" s="15"/>
      <c r="M1040" s="15"/>
      <c r="N1040" s="15"/>
      <c r="O1040" s="15"/>
      <c r="P1040" s="15"/>
      <c r="Q1040" s="11"/>
      <c r="R1040" s="11"/>
      <c r="S1040" s="11"/>
      <c r="T1040" s="11"/>
      <c r="U1040" s="15"/>
      <c r="V1040" s="11"/>
      <c r="W1040" s="11"/>
      <c r="X1040" s="11"/>
      <c r="Y1040" s="11"/>
      <c r="Z1040" s="11"/>
    </row>
    <row r="1041">
      <c r="A1041" s="18"/>
      <c r="B1041" s="11"/>
      <c r="C1041" s="11"/>
      <c r="D1041" s="11"/>
      <c r="E1041" s="11"/>
      <c r="F1041" s="11"/>
      <c r="G1041" s="11"/>
      <c r="H1041" s="11"/>
      <c r="I1041" s="11"/>
      <c r="J1041" s="11"/>
      <c r="K1041" s="11"/>
      <c r="L1041" s="15"/>
      <c r="M1041" s="15"/>
      <c r="N1041" s="15"/>
      <c r="O1041" s="15"/>
      <c r="P1041" s="15"/>
      <c r="Q1041" s="11"/>
      <c r="R1041" s="11"/>
      <c r="S1041" s="11"/>
      <c r="T1041" s="11"/>
      <c r="U1041" s="15"/>
      <c r="V1041" s="11"/>
      <c r="W1041" s="11"/>
      <c r="X1041" s="11"/>
      <c r="Y1041" s="11"/>
      <c r="Z1041" s="11"/>
    </row>
    <row r="1042">
      <c r="A1042" s="18"/>
      <c r="B1042" s="11"/>
      <c r="C1042" s="11"/>
      <c r="D1042" s="11"/>
      <c r="E1042" s="11"/>
      <c r="F1042" s="11"/>
      <c r="G1042" s="11"/>
      <c r="H1042" s="11"/>
      <c r="I1042" s="11"/>
      <c r="J1042" s="11"/>
      <c r="K1042" s="11"/>
      <c r="L1042" s="15"/>
      <c r="M1042" s="15"/>
      <c r="N1042" s="15"/>
      <c r="O1042" s="15"/>
      <c r="P1042" s="15"/>
      <c r="Q1042" s="11"/>
      <c r="R1042" s="11"/>
      <c r="S1042" s="11"/>
      <c r="T1042" s="11"/>
      <c r="U1042" s="15"/>
      <c r="V1042" s="11"/>
      <c r="W1042" s="11"/>
      <c r="X1042" s="11"/>
      <c r="Y1042" s="11"/>
      <c r="Z1042" s="11"/>
    </row>
    <row r="1043">
      <c r="A1043" s="18"/>
      <c r="B1043" s="11"/>
      <c r="C1043" s="11"/>
      <c r="D1043" s="11"/>
      <c r="E1043" s="11"/>
      <c r="F1043" s="11"/>
      <c r="G1043" s="11"/>
      <c r="H1043" s="11"/>
      <c r="I1043" s="11"/>
      <c r="J1043" s="11"/>
      <c r="K1043" s="11"/>
      <c r="L1043" s="15"/>
      <c r="M1043" s="15"/>
      <c r="N1043" s="15"/>
      <c r="O1043" s="15"/>
      <c r="P1043" s="15"/>
      <c r="Q1043" s="11"/>
      <c r="R1043" s="11"/>
      <c r="S1043" s="11"/>
      <c r="T1043" s="11"/>
      <c r="U1043" s="15"/>
      <c r="V1043" s="11"/>
      <c r="W1043" s="11"/>
      <c r="X1043" s="11"/>
      <c r="Y1043" s="11"/>
      <c r="Z1043" s="11"/>
    </row>
    <row r="1044">
      <c r="A1044" s="18"/>
      <c r="B1044" s="11"/>
      <c r="C1044" s="11"/>
      <c r="D1044" s="11"/>
      <c r="E1044" s="11"/>
      <c r="F1044" s="11"/>
      <c r="G1044" s="11"/>
      <c r="H1044" s="11"/>
      <c r="I1044" s="11"/>
      <c r="J1044" s="11"/>
      <c r="K1044" s="11"/>
      <c r="L1044" s="15"/>
      <c r="M1044" s="15"/>
      <c r="N1044" s="15"/>
      <c r="O1044" s="15"/>
      <c r="P1044" s="15"/>
      <c r="Q1044" s="11"/>
      <c r="R1044" s="11"/>
      <c r="S1044" s="11"/>
      <c r="T1044" s="11"/>
      <c r="U1044" s="15"/>
      <c r="V1044" s="11"/>
      <c r="W1044" s="11"/>
      <c r="X1044" s="11"/>
      <c r="Y1044" s="11"/>
      <c r="Z1044" s="11"/>
    </row>
    <row r="1045">
      <c r="A1045" s="18"/>
      <c r="B1045" s="11"/>
      <c r="C1045" s="11"/>
      <c r="D1045" s="11"/>
      <c r="E1045" s="11"/>
      <c r="F1045" s="11"/>
      <c r="G1045" s="11"/>
      <c r="H1045" s="11"/>
      <c r="I1045" s="11"/>
      <c r="J1045" s="11"/>
      <c r="K1045" s="11"/>
      <c r="L1045" s="15"/>
      <c r="M1045" s="15"/>
      <c r="N1045" s="15"/>
      <c r="O1045" s="15"/>
      <c r="P1045" s="15"/>
      <c r="Q1045" s="11"/>
      <c r="R1045" s="11"/>
      <c r="S1045" s="11"/>
      <c r="T1045" s="11"/>
      <c r="U1045" s="15"/>
      <c r="V1045" s="11"/>
      <c r="W1045" s="11"/>
      <c r="X1045" s="11"/>
      <c r="Y1045" s="11"/>
      <c r="Z1045" s="11"/>
    </row>
    <row r="1046">
      <c r="A1046" s="18"/>
      <c r="B1046" s="11"/>
      <c r="C1046" s="11"/>
      <c r="D1046" s="11"/>
      <c r="E1046" s="11"/>
      <c r="F1046" s="11"/>
      <c r="G1046" s="11"/>
      <c r="H1046" s="11"/>
      <c r="I1046" s="11"/>
      <c r="J1046" s="11"/>
      <c r="K1046" s="11"/>
      <c r="L1046" s="15"/>
      <c r="M1046" s="15"/>
      <c r="N1046" s="15"/>
      <c r="O1046" s="15"/>
      <c r="P1046" s="15"/>
      <c r="Q1046" s="11"/>
      <c r="R1046" s="11"/>
      <c r="S1046" s="11"/>
      <c r="T1046" s="11"/>
      <c r="U1046" s="15"/>
      <c r="V1046" s="11"/>
      <c r="W1046" s="11"/>
      <c r="X1046" s="11"/>
      <c r="Y1046" s="11"/>
      <c r="Z1046" s="11"/>
    </row>
    <row r="1047">
      <c r="A1047" s="18"/>
      <c r="B1047" s="11"/>
      <c r="C1047" s="11"/>
      <c r="D1047" s="11"/>
      <c r="E1047" s="11"/>
      <c r="F1047" s="11"/>
      <c r="G1047" s="11"/>
      <c r="H1047" s="11"/>
      <c r="I1047" s="11"/>
      <c r="J1047" s="11"/>
      <c r="K1047" s="11"/>
      <c r="L1047" s="15"/>
      <c r="M1047" s="15"/>
      <c r="N1047" s="15"/>
      <c r="O1047" s="15"/>
      <c r="P1047" s="15"/>
      <c r="Q1047" s="11"/>
      <c r="R1047" s="11"/>
      <c r="S1047" s="11"/>
      <c r="T1047" s="11"/>
      <c r="U1047" s="15"/>
      <c r="V1047" s="11"/>
      <c r="W1047" s="11"/>
      <c r="X1047" s="11"/>
      <c r="Y1047" s="11"/>
      <c r="Z1047" s="11"/>
    </row>
    <row r="1048">
      <c r="A1048" s="18"/>
      <c r="B1048" s="11"/>
      <c r="C1048" s="11"/>
      <c r="D1048" s="11"/>
      <c r="E1048" s="11"/>
      <c r="F1048" s="11"/>
      <c r="G1048" s="11"/>
      <c r="H1048" s="11"/>
      <c r="I1048" s="11"/>
      <c r="J1048" s="11"/>
      <c r="K1048" s="11"/>
      <c r="L1048" s="15"/>
      <c r="M1048" s="15"/>
      <c r="N1048" s="15"/>
      <c r="O1048" s="15"/>
      <c r="P1048" s="15"/>
      <c r="Q1048" s="11"/>
      <c r="R1048" s="11"/>
      <c r="S1048" s="11"/>
      <c r="T1048" s="11"/>
      <c r="U1048" s="15"/>
      <c r="V1048" s="11"/>
      <c r="W1048" s="11"/>
      <c r="X1048" s="11"/>
      <c r="Y1048" s="11"/>
      <c r="Z1048" s="11"/>
    </row>
    <row r="1049">
      <c r="A1049" s="18"/>
      <c r="B1049" s="11"/>
      <c r="C1049" s="11"/>
      <c r="D1049" s="11"/>
      <c r="E1049" s="11"/>
      <c r="F1049" s="11"/>
      <c r="G1049" s="11"/>
      <c r="H1049" s="11"/>
      <c r="I1049" s="11"/>
      <c r="J1049" s="11"/>
      <c r="K1049" s="11"/>
      <c r="L1049" s="15"/>
      <c r="M1049" s="15"/>
      <c r="N1049" s="15"/>
      <c r="O1049" s="15"/>
      <c r="P1049" s="15"/>
      <c r="Q1049" s="11"/>
      <c r="R1049" s="11"/>
      <c r="S1049" s="11"/>
      <c r="T1049" s="11"/>
      <c r="U1049" s="15"/>
      <c r="V1049" s="11"/>
      <c r="W1049" s="11"/>
      <c r="X1049" s="11"/>
      <c r="Y1049" s="11"/>
      <c r="Z1049" s="11"/>
    </row>
    <row r="1050">
      <c r="A1050" s="18"/>
      <c r="B1050" s="11"/>
      <c r="C1050" s="11"/>
      <c r="D1050" s="11"/>
      <c r="E1050" s="11"/>
      <c r="F1050" s="11"/>
      <c r="G1050" s="11"/>
      <c r="H1050" s="11"/>
      <c r="I1050" s="11"/>
      <c r="J1050" s="11"/>
      <c r="K1050" s="11"/>
      <c r="L1050" s="15"/>
      <c r="M1050" s="15"/>
      <c r="N1050" s="15"/>
      <c r="O1050" s="15"/>
      <c r="P1050" s="15"/>
      <c r="Q1050" s="11"/>
      <c r="R1050" s="11"/>
      <c r="S1050" s="11"/>
      <c r="T1050" s="11"/>
      <c r="U1050" s="15"/>
      <c r="V1050" s="11"/>
      <c r="W1050" s="11"/>
      <c r="X1050" s="11"/>
      <c r="Y1050" s="11"/>
      <c r="Z1050" s="11"/>
    </row>
    <row r="1051">
      <c r="A1051" s="18"/>
      <c r="B1051" s="11"/>
      <c r="C1051" s="11"/>
      <c r="D1051" s="11"/>
      <c r="E1051" s="11"/>
      <c r="F1051" s="11"/>
      <c r="G1051" s="11"/>
      <c r="H1051" s="11"/>
      <c r="I1051" s="11"/>
      <c r="J1051" s="11"/>
      <c r="K1051" s="11"/>
      <c r="L1051" s="15"/>
      <c r="M1051" s="15"/>
      <c r="N1051" s="15"/>
      <c r="O1051" s="15"/>
      <c r="P1051" s="15"/>
      <c r="Q1051" s="11"/>
      <c r="R1051" s="11"/>
      <c r="S1051" s="11"/>
      <c r="T1051" s="11"/>
      <c r="U1051" s="15"/>
      <c r="V1051" s="11"/>
      <c r="W1051" s="11"/>
      <c r="X1051" s="11"/>
      <c r="Y1051" s="11"/>
      <c r="Z1051" s="11"/>
    </row>
    <row r="1052">
      <c r="A1052" s="18"/>
      <c r="B1052" s="11"/>
      <c r="C1052" s="11"/>
      <c r="D1052" s="11"/>
      <c r="E1052" s="11"/>
      <c r="F1052" s="11"/>
      <c r="G1052" s="11"/>
      <c r="H1052" s="11"/>
      <c r="I1052" s="11"/>
      <c r="J1052" s="11"/>
      <c r="K1052" s="11"/>
      <c r="L1052" s="15"/>
      <c r="M1052" s="15"/>
      <c r="N1052" s="15"/>
      <c r="O1052" s="15"/>
      <c r="P1052" s="15"/>
      <c r="Q1052" s="11"/>
      <c r="R1052" s="11"/>
      <c r="S1052" s="11"/>
      <c r="T1052" s="11"/>
      <c r="U1052" s="15"/>
      <c r="V1052" s="11"/>
      <c r="W1052" s="11"/>
      <c r="X1052" s="11"/>
      <c r="Y1052" s="11"/>
      <c r="Z1052" s="11"/>
    </row>
    <row r="1053">
      <c r="A1053" s="18"/>
      <c r="B1053" s="11"/>
      <c r="C1053" s="11"/>
      <c r="D1053" s="11"/>
      <c r="E1053" s="11"/>
      <c r="F1053" s="11"/>
      <c r="G1053" s="11"/>
      <c r="H1053" s="11"/>
      <c r="I1053" s="11"/>
      <c r="J1053" s="11"/>
      <c r="K1053" s="11"/>
      <c r="L1053" s="15"/>
      <c r="M1053" s="15"/>
      <c r="N1053" s="15"/>
      <c r="O1053" s="15"/>
      <c r="P1053" s="15"/>
      <c r="Q1053" s="11"/>
      <c r="R1053" s="11"/>
      <c r="S1053" s="11"/>
      <c r="T1053" s="11"/>
      <c r="U1053" s="15"/>
      <c r="V1053" s="11"/>
      <c r="W1053" s="11"/>
      <c r="X1053" s="11"/>
      <c r="Y1053" s="11"/>
      <c r="Z1053" s="11"/>
    </row>
    <row r="1054">
      <c r="A1054" s="18"/>
      <c r="B1054" s="11"/>
      <c r="C1054" s="11"/>
      <c r="D1054" s="11"/>
      <c r="E1054" s="11"/>
      <c r="F1054" s="11"/>
      <c r="G1054" s="11"/>
      <c r="H1054" s="11"/>
      <c r="I1054" s="11"/>
      <c r="J1054" s="11"/>
      <c r="K1054" s="11"/>
      <c r="L1054" s="15"/>
      <c r="M1054" s="15"/>
      <c r="N1054" s="15"/>
      <c r="O1054" s="15"/>
      <c r="P1054" s="15"/>
      <c r="Q1054" s="11"/>
      <c r="R1054" s="11"/>
      <c r="S1054" s="11"/>
      <c r="T1054" s="11"/>
      <c r="U1054" s="15"/>
      <c r="V1054" s="11"/>
      <c r="W1054" s="11"/>
      <c r="X1054" s="11"/>
      <c r="Y1054" s="11"/>
      <c r="Z1054" s="11"/>
    </row>
    <row r="1055">
      <c r="A1055" s="18"/>
      <c r="B1055" s="11"/>
      <c r="C1055" s="11"/>
      <c r="D1055" s="11"/>
      <c r="E1055" s="11"/>
      <c r="F1055" s="11"/>
      <c r="G1055" s="11"/>
      <c r="H1055" s="11"/>
      <c r="I1055" s="11"/>
      <c r="J1055" s="11"/>
      <c r="K1055" s="11"/>
      <c r="L1055" s="15"/>
      <c r="M1055" s="15"/>
      <c r="N1055" s="15"/>
      <c r="O1055" s="15"/>
      <c r="P1055" s="15"/>
      <c r="Q1055" s="11"/>
      <c r="R1055" s="11"/>
      <c r="S1055" s="11"/>
      <c r="T1055" s="11"/>
      <c r="U1055" s="15"/>
      <c r="V1055" s="11"/>
      <c r="W1055" s="11"/>
      <c r="X1055" s="11"/>
      <c r="Y1055" s="11"/>
      <c r="Z1055" s="11"/>
    </row>
    <row r="1056">
      <c r="A1056" s="18"/>
      <c r="B1056" s="11"/>
      <c r="C1056" s="11"/>
      <c r="D1056" s="11"/>
      <c r="E1056" s="11"/>
      <c r="F1056" s="11"/>
      <c r="G1056" s="11"/>
      <c r="H1056" s="11"/>
      <c r="I1056" s="11"/>
      <c r="J1056" s="11"/>
      <c r="K1056" s="11"/>
      <c r="L1056" s="15"/>
      <c r="M1056" s="15"/>
      <c r="N1056" s="15"/>
      <c r="O1056" s="15"/>
      <c r="P1056" s="15"/>
      <c r="Q1056" s="11"/>
      <c r="R1056" s="11"/>
      <c r="S1056" s="11"/>
      <c r="T1056" s="11"/>
      <c r="U1056" s="15"/>
      <c r="V1056" s="11"/>
      <c r="W1056" s="11"/>
      <c r="X1056" s="11"/>
      <c r="Y1056" s="11"/>
      <c r="Z1056" s="11"/>
    </row>
    <row r="1057">
      <c r="A1057" s="18"/>
      <c r="B1057" s="11"/>
      <c r="C1057" s="11"/>
      <c r="D1057" s="11"/>
      <c r="E1057" s="11"/>
      <c r="F1057" s="11"/>
      <c r="G1057" s="11"/>
      <c r="H1057" s="11"/>
      <c r="I1057" s="11"/>
      <c r="J1057" s="11"/>
      <c r="K1057" s="11"/>
      <c r="L1057" s="15"/>
      <c r="M1057" s="15"/>
      <c r="N1057" s="15"/>
      <c r="O1057" s="15"/>
      <c r="P1057" s="15"/>
      <c r="Q1057" s="11"/>
      <c r="R1057" s="11"/>
      <c r="S1057" s="11"/>
      <c r="T1057" s="11"/>
      <c r="U1057" s="15"/>
      <c r="V1057" s="11"/>
      <c r="W1057" s="11"/>
      <c r="X1057" s="11"/>
      <c r="Y1057" s="11"/>
      <c r="Z1057" s="11"/>
    </row>
    <row r="1058">
      <c r="A1058" s="18"/>
      <c r="B1058" s="11"/>
      <c r="C1058" s="11"/>
      <c r="D1058" s="11"/>
      <c r="E1058" s="11"/>
      <c r="F1058" s="11"/>
      <c r="G1058" s="11"/>
      <c r="H1058" s="11"/>
      <c r="I1058" s="11"/>
      <c r="J1058" s="11"/>
      <c r="K1058" s="11"/>
      <c r="L1058" s="15"/>
      <c r="M1058" s="15"/>
      <c r="N1058" s="15"/>
      <c r="O1058" s="15"/>
      <c r="P1058" s="15"/>
      <c r="Q1058" s="11"/>
      <c r="R1058" s="11"/>
      <c r="S1058" s="11"/>
      <c r="T1058" s="11"/>
      <c r="U1058" s="15"/>
      <c r="V1058" s="11"/>
      <c r="W1058" s="11"/>
      <c r="X1058" s="11"/>
      <c r="Y1058" s="11"/>
      <c r="Z1058" s="11"/>
    </row>
    <row r="1059">
      <c r="A1059" s="18"/>
      <c r="B1059" s="11"/>
      <c r="C1059" s="11"/>
      <c r="D1059" s="11"/>
      <c r="E1059" s="11"/>
      <c r="F1059" s="11"/>
      <c r="G1059" s="11"/>
      <c r="H1059" s="11"/>
      <c r="I1059" s="11"/>
      <c r="J1059" s="11"/>
      <c r="K1059" s="11"/>
      <c r="L1059" s="15"/>
      <c r="M1059" s="15"/>
      <c r="N1059" s="15"/>
      <c r="O1059" s="15"/>
      <c r="P1059" s="15"/>
      <c r="Q1059" s="11"/>
      <c r="R1059" s="11"/>
      <c r="S1059" s="11"/>
      <c r="T1059" s="11"/>
      <c r="U1059" s="15"/>
      <c r="V1059" s="11"/>
      <c r="W1059" s="11"/>
      <c r="X1059" s="11"/>
      <c r="Y1059" s="11"/>
      <c r="Z1059" s="11"/>
    </row>
    <row r="1060">
      <c r="A1060" s="18"/>
      <c r="B1060" s="11"/>
      <c r="C1060" s="11"/>
      <c r="D1060" s="11"/>
      <c r="E1060" s="11"/>
      <c r="F1060" s="11"/>
      <c r="G1060" s="11"/>
      <c r="H1060" s="11"/>
      <c r="I1060" s="11"/>
      <c r="J1060" s="11"/>
      <c r="K1060" s="11"/>
      <c r="L1060" s="15"/>
      <c r="M1060" s="15"/>
      <c r="N1060" s="15"/>
      <c r="O1060" s="15"/>
      <c r="P1060" s="15"/>
      <c r="Q1060" s="11"/>
      <c r="R1060" s="11"/>
      <c r="S1060" s="11"/>
      <c r="T1060" s="11"/>
      <c r="U1060" s="15"/>
      <c r="V1060" s="11"/>
      <c r="W1060" s="11"/>
      <c r="X1060" s="11"/>
      <c r="Y1060" s="11"/>
      <c r="Z1060" s="11"/>
    </row>
    <row r="1061">
      <c r="A1061" s="18"/>
      <c r="B1061" s="11"/>
      <c r="C1061" s="11"/>
      <c r="D1061" s="11"/>
      <c r="E1061" s="11"/>
      <c r="F1061" s="11"/>
      <c r="G1061" s="11"/>
      <c r="H1061" s="11"/>
      <c r="I1061" s="11"/>
      <c r="J1061" s="11"/>
      <c r="K1061" s="11"/>
      <c r="L1061" s="15"/>
      <c r="M1061" s="15"/>
      <c r="N1061" s="15"/>
      <c r="O1061" s="15"/>
      <c r="P1061" s="15"/>
      <c r="Q1061" s="11"/>
      <c r="R1061" s="11"/>
      <c r="S1061" s="11"/>
      <c r="T1061" s="11"/>
      <c r="U1061" s="15"/>
      <c r="V1061" s="11"/>
      <c r="W1061" s="11"/>
      <c r="X1061" s="11"/>
      <c r="Y1061" s="11"/>
      <c r="Z1061" s="11"/>
    </row>
    <row r="1062">
      <c r="A1062" s="18"/>
      <c r="B1062" s="11"/>
      <c r="C1062" s="11"/>
      <c r="D1062" s="11"/>
      <c r="E1062" s="11"/>
      <c r="F1062" s="11"/>
      <c r="G1062" s="11"/>
      <c r="H1062" s="11"/>
      <c r="I1062" s="11"/>
      <c r="J1062" s="11"/>
      <c r="K1062" s="11"/>
      <c r="L1062" s="15"/>
      <c r="M1062" s="15"/>
      <c r="N1062" s="15"/>
      <c r="O1062" s="15"/>
      <c r="P1062" s="15"/>
      <c r="Q1062" s="11"/>
      <c r="R1062" s="11"/>
      <c r="S1062" s="11"/>
      <c r="T1062" s="11"/>
      <c r="U1062" s="15"/>
      <c r="V1062" s="11"/>
      <c r="W1062" s="11"/>
      <c r="X1062" s="11"/>
      <c r="Y1062" s="11"/>
      <c r="Z1062" s="11"/>
    </row>
    <row r="1063">
      <c r="A1063" s="18"/>
      <c r="B1063" s="11"/>
      <c r="C1063" s="11"/>
      <c r="D1063" s="11"/>
      <c r="E1063" s="11"/>
      <c r="F1063" s="11"/>
      <c r="G1063" s="11"/>
      <c r="H1063" s="11"/>
      <c r="I1063" s="11"/>
      <c r="J1063" s="11"/>
      <c r="K1063" s="11"/>
      <c r="L1063" s="15"/>
      <c r="M1063" s="15"/>
      <c r="N1063" s="15"/>
      <c r="O1063" s="15"/>
      <c r="P1063" s="15"/>
      <c r="Q1063" s="11"/>
      <c r="R1063" s="11"/>
      <c r="S1063" s="11"/>
      <c r="T1063" s="11"/>
      <c r="U1063" s="15"/>
      <c r="V1063" s="11"/>
      <c r="W1063" s="11"/>
      <c r="X1063" s="11"/>
      <c r="Y1063" s="11"/>
      <c r="Z1063" s="11"/>
    </row>
    <row r="1064">
      <c r="A1064" s="18"/>
      <c r="B1064" s="11"/>
      <c r="C1064" s="11"/>
      <c r="D1064" s="11"/>
      <c r="E1064" s="11"/>
      <c r="F1064" s="11"/>
      <c r="G1064" s="11"/>
      <c r="H1064" s="11"/>
      <c r="I1064" s="11"/>
      <c r="J1064" s="11"/>
      <c r="K1064" s="11"/>
      <c r="L1064" s="15"/>
      <c r="M1064" s="15"/>
      <c r="N1064" s="15"/>
      <c r="O1064" s="15"/>
      <c r="P1064" s="15"/>
      <c r="Q1064" s="11"/>
      <c r="R1064" s="11"/>
      <c r="S1064" s="11"/>
      <c r="T1064" s="11"/>
      <c r="U1064" s="15"/>
      <c r="V1064" s="11"/>
      <c r="W1064" s="11"/>
      <c r="X1064" s="11"/>
      <c r="Y1064" s="11"/>
      <c r="Z1064" s="11"/>
    </row>
    <row r="1065">
      <c r="A1065" s="18"/>
      <c r="B1065" s="11"/>
      <c r="C1065" s="11"/>
      <c r="D1065" s="11"/>
      <c r="E1065" s="11"/>
      <c r="F1065" s="11"/>
      <c r="G1065" s="11"/>
      <c r="H1065" s="11"/>
      <c r="I1065" s="11"/>
      <c r="J1065" s="11"/>
      <c r="K1065" s="11"/>
      <c r="L1065" s="15"/>
      <c r="M1065" s="15"/>
      <c r="N1065" s="15"/>
      <c r="O1065" s="15"/>
      <c r="P1065" s="15"/>
      <c r="Q1065" s="11"/>
      <c r="R1065" s="11"/>
      <c r="S1065" s="11"/>
      <c r="T1065" s="11"/>
      <c r="U1065" s="15"/>
      <c r="V1065" s="11"/>
      <c r="W1065" s="11"/>
      <c r="X1065" s="11"/>
      <c r="Y1065" s="11"/>
      <c r="Z1065" s="11"/>
    </row>
    <row r="1066">
      <c r="A1066" s="18"/>
      <c r="B1066" s="11"/>
      <c r="C1066" s="11"/>
      <c r="D1066" s="11"/>
      <c r="E1066" s="11"/>
      <c r="F1066" s="11"/>
      <c r="G1066" s="11"/>
      <c r="H1066" s="11"/>
      <c r="I1066" s="11"/>
      <c r="J1066" s="11"/>
      <c r="K1066" s="11"/>
      <c r="L1066" s="15"/>
      <c r="M1066" s="15"/>
      <c r="N1066" s="15"/>
      <c r="O1066" s="15"/>
      <c r="P1066" s="15"/>
      <c r="Q1066" s="11"/>
      <c r="R1066" s="11"/>
      <c r="S1066" s="11"/>
      <c r="T1066" s="11"/>
      <c r="U1066" s="15"/>
      <c r="V1066" s="11"/>
      <c r="W1066" s="11"/>
      <c r="X1066" s="11"/>
      <c r="Y1066" s="11"/>
      <c r="Z1066" s="11"/>
    </row>
    <row r="1067">
      <c r="A1067" s="18"/>
      <c r="B1067" s="11"/>
      <c r="C1067" s="11"/>
      <c r="D1067" s="11"/>
      <c r="E1067" s="11"/>
      <c r="F1067" s="11"/>
      <c r="G1067" s="11"/>
      <c r="H1067" s="11"/>
      <c r="I1067" s="11"/>
      <c r="J1067" s="11"/>
      <c r="K1067" s="11"/>
      <c r="L1067" s="15"/>
      <c r="M1067" s="15"/>
      <c r="N1067" s="15"/>
      <c r="O1067" s="15"/>
      <c r="P1067" s="15"/>
      <c r="Q1067" s="11"/>
      <c r="R1067" s="11"/>
      <c r="S1067" s="11"/>
      <c r="T1067" s="11"/>
      <c r="U1067" s="15"/>
      <c r="V1067" s="11"/>
      <c r="W1067" s="11"/>
      <c r="X1067" s="11"/>
      <c r="Y1067" s="11"/>
      <c r="Z1067" s="11"/>
    </row>
    <row r="1068">
      <c r="A1068" s="18"/>
      <c r="B1068" s="11"/>
      <c r="C1068" s="11"/>
      <c r="D1068" s="11"/>
      <c r="E1068" s="11"/>
      <c r="F1068" s="11"/>
      <c r="G1068" s="11"/>
      <c r="H1068" s="11"/>
      <c r="I1068" s="11"/>
      <c r="J1068" s="11"/>
      <c r="K1068" s="11"/>
      <c r="L1068" s="15"/>
      <c r="M1068" s="15"/>
      <c r="N1068" s="15"/>
      <c r="O1068" s="15"/>
      <c r="P1068" s="15"/>
      <c r="Q1068" s="11"/>
      <c r="R1068" s="11"/>
      <c r="S1068" s="11"/>
      <c r="T1068" s="11"/>
      <c r="U1068" s="15"/>
      <c r="V1068" s="11"/>
      <c r="W1068" s="11"/>
      <c r="X1068" s="11"/>
      <c r="Y1068" s="11"/>
      <c r="Z1068" s="11"/>
    </row>
    <row r="1069">
      <c r="A1069" s="18"/>
      <c r="B1069" s="11"/>
      <c r="C1069" s="11"/>
      <c r="D1069" s="11"/>
      <c r="E1069" s="11"/>
      <c r="F1069" s="11"/>
      <c r="G1069" s="11"/>
      <c r="H1069" s="11"/>
      <c r="I1069" s="11"/>
      <c r="J1069" s="11"/>
      <c r="K1069" s="11"/>
      <c r="L1069" s="15"/>
      <c r="M1069" s="15"/>
      <c r="N1069" s="15"/>
      <c r="O1069" s="15"/>
      <c r="P1069" s="15"/>
      <c r="Q1069" s="11"/>
      <c r="R1069" s="11"/>
      <c r="S1069" s="11"/>
      <c r="T1069" s="11"/>
      <c r="U1069" s="15"/>
      <c r="V1069" s="11"/>
      <c r="W1069" s="11"/>
      <c r="X1069" s="11"/>
      <c r="Y1069" s="11"/>
      <c r="Z1069" s="11"/>
    </row>
    <row r="1070">
      <c r="A1070" s="18"/>
      <c r="B1070" s="11"/>
      <c r="C1070" s="11"/>
      <c r="D1070" s="11"/>
      <c r="E1070" s="11"/>
      <c r="F1070" s="11"/>
      <c r="G1070" s="11"/>
      <c r="H1070" s="11"/>
      <c r="I1070" s="11"/>
      <c r="J1070" s="11"/>
      <c r="K1070" s="11"/>
      <c r="L1070" s="15"/>
      <c r="M1070" s="15"/>
      <c r="N1070" s="15"/>
      <c r="O1070" s="15"/>
      <c r="P1070" s="15"/>
      <c r="Q1070" s="11"/>
      <c r="R1070" s="11"/>
      <c r="S1070" s="11"/>
      <c r="T1070" s="11"/>
      <c r="U1070" s="15"/>
      <c r="V1070" s="11"/>
      <c r="W1070" s="11"/>
      <c r="X1070" s="11"/>
      <c r="Y1070" s="11"/>
      <c r="Z1070" s="11"/>
    </row>
    <row r="1071">
      <c r="A1071" s="18"/>
      <c r="B1071" s="11"/>
      <c r="C1071" s="11"/>
      <c r="D1071" s="11"/>
      <c r="E1071" s="11"/>
      <c r="F1071" s="11"/>
      <c r="G1071" s="11"/>
      <c r="H1071" s="11"/>
      <c r="I1071" s="11"/>
      <c r="J1071" s="11"/>
      <c r="K1071" s="11"/>
      <c r="L1071" s="15"/>
      <c r="M1071" s="15"/>
      <c r="N1071" s="15"/>
      <c r="O1071" s="15"/>
      <c r="P1071" s="15"/>
      <c r="Q1071" s="11"/>
      <c r="R1071" s="11"/>
      <c r="S1071" s="11"/>
      <c r="T1071" s="11"/>
      <c r="U1071" s="15"/>
      <c r="V1071" s="11"/>
      <c r="W1071" s="11"/>
      <c r="X1071" s="11"/>
      <c r="Y1071" s="11"/>
      <c r="Z1071" s="11"/>
    </row>
    <row r="1072">
      <c r="A1072" s="18"/>
      <c r="B1072" s="11"/>
      <c r="C1072" s="11"/>
      <c r="D1072" s="11"/>
      <c r="E1072" s="11"/>
      <c r="F1072" s="11"/>
      <c r="G1072" s="11"/>
      <c r="H1072" s="11"/>
      <c r="I1072" s="11"/>
      <c r="J1072" s="11"/>
      <c r="K1072" s="11"/>
      <c r="L1072" s="15"/>
      <c r="M1072" s="15"/>
      <c r="N1072" s="15"/>
      <c r="O1072" s="15"/>
      <c r="P1072" s="15"/>
      <c r="Q1072" s="11"/>
      <c r="R1072" s="11"/>
      <c r="S1072" s="11"/>
      <c r="T1072" s="11"/>
      <c r="U1072" s="15"/>
      <c r="V1072" s="11"/>
      <c r="W1072" s="11"/>
      <c r="X1072" s="11"/>
      <c r="Y1072" s="11"/>
      <c r="Z1072" s="11"/>
    </row>
    <row r="1073">
      <c r="A1073" s="18"/>
      <c r="B1073" s="11"/>
      <c r="C1073" s="11"/>
      <c r="D1073" s="11"/>
      <c r="E1073" s="11"/>
      <c r="F1073" s="11"/>
      <c r="G1073" s="11"/>
      <c r="H1073" s="11"/>
      <c r="I1073" s="11"/>
      <c r="J1073" s="11"/>
      <c r="K1073" s="11"/>
      <c r="L1073" s="15"/>
      <c r="M1073" s="15"/>
      <c r="N1073" s="15"/>
      <c r="O1073" s="15"/>
      <c r="P1073" s="15"/>
      <c r="Q1073" s="11"/>
      <c r="R1073" s="11"/>
      <c r="S1073" s="11"/>
      <c r="T1073" s="11"/>
      <c r="U1073" s="15"/>
      <c r="V1073" s="11"/>
      <c r="W1073" s="11"/>
      <c r="X1073" s="11"/>
      <c r="Y1073" s="11"/>
      <c r="Z1073" s="11"/>
    </row>
    <row r="1074">
      <c r="A1074" s="18"/>
      <c r="B1074" s="11"/>
      <c r="C1074" s="11"/>
      <c r="D1074" s="11"/>
      <c r="E1074" s="11"/>
      <c r="F1074" s="11"/>
      <c r="G1074" s="11"/>
      <c r="H1074" s="11"/>
      <c r="I1074" s="11"/>
      <c r="J1074" s="11"/>
      <c r="K1074" s="11"/>
      <c r="L1074" s="15"/>
      <c r="M1074" s="15"/>
      <c r="N1074" s="15"/>
      <c r="O1074" s="15"/>
      <c r="P1074" s="15"/>
      <c r="Q1074" s="11"/>
      <c r="R1074" s="11"/>
      <c r="S1074" s="11"/>
      <c r="T1074" s="11"/>
      <c r="U1074" s="15"/>
      <c r="V1074" s="11"/>
      <c r="W1074" s="11"/>
      <c r="X1074" s="11"/>
      <c r="Y1074" s="11"/>
      <c r="Z1074" s="11"/>
    </row>
    <row r="1075">
      <c r="A1075" s="18"/>
      <c r="B1075" s="11"/>
      <c r="C1075" s="11"/>
      <c r="D1075" s="11"/>
      <c r="E1075" s="11"/>
      <c r="F1075" s="11"/>
      <c r="G1075" s="11"/>
      <c r="H1075" s="11"/>
      <c r="I1075" s="11"/>
      <c r="J1075" s="11"/>
      <c r="K1075" s="11"/>
      <c r="L1075" s="15"/>
      <c r="M1075" s="15"/>
      <c r="N1075" s="15"/>
      <c r="O1075" s="15"/>
      <c r="P1075" s="15"/>
      <c r="Q1075" s="11"/>
      <c r="R1075" s="11"/>
      <c r="S1075" s="11"/>
      <c r="T1075" s="11"/>
      <c r="U1075" s="15"/>
      <c r="V1075" s="11"/>
      <c r="W1075" s="11"/>
      <c r="X1075" s="11"/>
      <c r="Y1075" s="11"/>
      <c r="Z1075" s="11"/>
    </row>
    <row r="1076">
      <c r="A1076" s="18"/>
      <c r="B1076" s="11"/>
      <c r="C1076" s="11"/>
      <c r="D1076" s="11"/>
      <c r="E1076" s="11"/>
      <c r="F1076" s="11"/>
      <c r="G1076" s="11"/>
      <c r="H1076" s="11"/>
      <c r="I1076" s="11"/>
      <c r="J1076" s="11"/>
      <c r="K1076" s="11"/>
      <c r="L1076" s="15"/>
      <c r="M1076" s="15"/>
      <c r="N1076" s="15"/>
      <c r="O1076" s="15"/>
      <c r="P1076" s="15"/>
      <c r="Q1076" s="11"/>
      <c r="R1076" s="11"/>
      <c r="S1076" s="11"/>
      <c r="T1076" s="11"/>
      <c r="U1076" s="15"/>
      <c r="V1076" s="11"/>
      <c r="W1076" s="11"/>
      <c r="X1076" s="11"/>
      <c r="Y1076" s="11"/>
      <c r="Z1076" s="11"/>
    </row>
    <row r="1077">
      <c r="A1077" s="18"/>
      <c r="B1077" s="11"/>
      <c r="C1077" s="11"/>
      <c r="D1077" s="11"/>
      <c r="E1077" s="11"/>
      <c r="F1077" s="11"/>
      <c r="G1077" s="11"/>
      <c r="H1077" s="11"/>
      <c r="I1077" s="11"/>
      <c r="J1077" s="11"/>
      <c r="K1077" s="11"/>
      <c r="L1077" s="15"/>
      <c r="M1077" s="15"/>
      <c r="N1077" s="15"/>
      <c r="O1077" s="15"/>
      <c r="P1077" s="15"/>
      <c r="Q1077" s="11"/>
      <c r="R1077" s="11"/>
      <c r="S1077" s="11"/>
      <c r="T1077" s="11"/>
      <c r="U1077" s="15"/>
      <c r="V1077" s="11"/>
      <c r="W1077" s="11"/>
      <c r="X1077" s="11"/>
      <c r="Y1077" s="11"/>
      <c r="Z1077" s="11"/>
    </row>
    <row r="1078">
      <c r="A1078" s="18"/>
      <c r="B1078" s="11"/>
      <c r="C1078" s="11"/>
      <c r="D1078" s="11"/>
      <c r="E1078" s="11"/>
      <c r="F1078" s="11"/>
      <c r="G1078" s="11"/>
      <c r="H1078" s="11"/>
      <c r="I1078" s="11"/>
      <c r="J1078" s="11"/>
      <c r="K1078" s="11"/>
      <c r="L1078" s="15"/>
      <c r="M1078" s="15"/>
      <c r="N1078" s="15"/>
      <c r="O1078" s="15"/>
      <c r="P1078" s="15"/>
      <c r="Q1078" s="11"/>
      <c r="R1078" s="11"/>
      <c r="S1078" s="11"/>
      <c r="T1078" s="11"/>
      <c r="U1078" s="15"/>
      <c r="V1078" s="11"/>
      <c r="W1078" s="11"/>
      <c r="X1078" s="11"/>
      <c r="Y1078" s="11"/>
      <c r="Z1078" s="11"/>
    </row>
    <row r="1079">
      <c r="A1079" s="18"/>
      <c r="B1079" s="11"/>
      <c r="C1079" s="11"/>
      <c r="D1079" s="11"/>
      <c r="E1079" s="11"/>
      <c r="F1079" s="11"/>
      <c r="G1079" s="11"/>
      <c r="H1079" s="11"/>
      <c r="I1079" s="11"/>
      <c r="J1079" s="11"/>
      <c r="K1079" s="11"/>
      <c r="L1079" s="15"/>
      <c r="M1079" s="15"/>
      <c r="N1079" s="15"/>
      <c r="O1079" s="15"/>
      <c r="P1079" s="15"/>
      <c r="Q1079" s="11"/>
      <c r="R1079" s="11"/>
      <c r="S1079" s="11"/>
      <c r="T1079" s="11"/>
      <c r="U1079" s="15"/>
      <c r="V1079" s="11"/>
      <c r="W1079" s="11"/>
      <c r="X1079" s="11"/>
      <c r="Y1079" s="11"/>
      <c r="Z1079" s="11"/>
    </row>
    <row r="1080">
      <c r="A1080" s="18"/>
      <c r="B1080" s="11"/>
      <c r="C1080" s="11"/>
      <c r="D1080" s="11"/>
      <c r="E1080" s="11"/>
      <c r="F1080" s="11"/>
      <c r="G1080" s="11"/>
      <c r="H1080" s="11"/>
      <c r="I1080" s="11"/>
      <c r="J1080" s="11"/>
      <c r="K1080" s="11"/>
      <c r="L1080" s="15"/>
      <c r="M1080" s="15"/>
      <c r="N1080" s="15"/>
      <c r="O1080" s="15"/>
      <c r="P1080" s="15"/>
      <c r="Q1080" s="11"/>
      <c r="R1080" s="11"/>
      <c r="S1080" s="11"/>
      <c r="T1080" s="11"/>
      <c r="U1080" s="15"/>
      <c r="V1080" s="11"/>
      <c r="W1080" s="11"/>
      <c r="X1080" s="11"/>
      <c r="Y1080" s="11"/>
      <c r="Z1080" s="11"/>
    </row>
    <row r="1081">
      <c r="A1081" s="18"/>
      <c r="B1081" s="11"/>
      <c r="C1081" s="11"/>
      <c r="D1081" s="11"/>
      <c r="E1081" s="11"/>
      <c r="F1081" s="11"/>
      <c r="G1081" s="11"/>
      <c r="H1081" s="11"/>
      <c r="I1081" s="11"/>
      <c r="J1081" s="11"/>
      <c r="K1081" s="11"/>
      <c r="L1081" s="15"/>
      <c r="M1081" s="15"/>
      <c r="N1081" s="15"/>
      <c r="O1081" s="15"/>
      <c r="P1081" s="15"/>
      <c r="Q1081" s="11"/>
      <c r="R1081" s="11"/>
      <c r="S1081" s="11"/>
      <c r="T1081" s="11"/>
      <c r="U1081" s="15"/>
      <c r="V1081" s="11"/>
      <c r="W1081" s="11"/>
      <c r="X1081" s="11"/>
      <c r="Y1081" s="11"/>
      <c r="Z1081" s="11"/>
    </row>
    <row r="1082">
      <c r="A1082" s="18"/>
      <c r="B1082" s="11"/>
      <c r="C1082" s="11"/>
      <c r="D1082" s="11"/>
      <c r="E1082" s="11"/>
      <c r="F1082" s="11"/>
      <c r="G1082" s="11"/>
      <c r="H1082" s="11"/>
      <c r="I1082" s="11"/>
      <c r="J1082" s="11"/>
      <c r="K1082" s="11"/>
      <c r="L1082" s="15"/>
      <c r="M1082" s="15"/>
      <c r="N1082" s="15"/>
      <c r="O1082" s="15"/>
      <c r="P1082" s="15"/>
      <c r="Q1082" s="11"/>
      <c r="R1082" s="11"/>
      <c r="S1082" s="11"/>
      <c r="T1082" s="11"/>
      <c r="U1082" s="15"/>
      <c r="V1082" s="11"/>
      <c r="W1082" s="11"/>
      <c r="X1082" s="11"/>
      <c r="Y1082" s="11"/>
      <c r="Z1082" s="11"/>
    </row>
    <row r="1083">
      <c r="A1083" s="18"/>
      <c r="B1083" s="11"/>
      <c r="C1083" s="11"/>
      <c r="D1083" s="11"/>
      <c r="E1083" s="11"/>
      <c r="F1083" s="11"/>
      <c r="G1083" s="11"/>
      <c r="H1083" s="11"/>
      <c r="I1083" s="11"/>
      <c r="J1083" s="11"/>
      <c r="K1083" s="11"/>
      <c r="L1083" s="15"/>
      <c r="M1083" s="15"/>
      <c r="N1083" s="15"/>
      <c r="O1083" s="15"/>
      <c r="P1083" s="15"/>
      <c r="Q1083" s="11"/>
      <c r="R1083" s="11"/>
      <c r="S1083" s="11"/>
      <c r="T1083" s="11"/>
      <c r="U1083" s="15"/>
      <c r="V1083" s="11"/>
      <c r="W1083" s="11"/>
      <c r="X1083" s="11"/>
      <c r="Y1083" s="11"/>
      <c r="Z1083" s="11"/>
    </row>
    <row r="1084">
      <c r="A1084" s="18"/>
      <c r="B1084" s="11"/>
      <c r="C1084" s="11"/>
      <c r="D1084" s="11"/>
      <c r="E1084" s="11"/>
      <c r="F1084" s="11"/>
      <c r="G1084" s="11"/>
      <c r="H1084" s="11"/>
      <c r="I1084" s="11"/>
      <c r="J1084" s="11"/>
      <c r="K1084" s="11"/>
      <c r="L1084" s="15"/>
      <c r="M1084" s="15"/>
      <c r="N1084" s="15"/>
      <c r="O1084" s="15"/>
      <c r="P1084" s="15"/>
      <c r="Q1084" s="11"/>
      <c r="R1084" s="11"/>
      <c r="S1084" s="11"/>
      <c r="T1084" s="11"/>
      <c r="U1084" s="15"/>
      <c r="V1084" s="11"/>
      <c r="W1084" s="11"/>
      <c r="X1084" s="11"/>
      <c r="Y1084" s="11"/>
      <c r="Z1084" s="11"/>
    </row>
    <row r="1085">
      <c r="A1085" s="18"/>
      <c r="B1085" s="11"/>
      <c r="C1085" s="11"/>
      <c r="D1085" s="11"/>
      <c r="E1085" s="11"/>
      <c r="F1085" s="11"/>
      <c r="G1085" s="11"/>
      <c r="H1085" s="11"/>
      <c r="I1085" s="11"/>
      <c r="J1085" s="11"/>
      <c r="K1085" s="11"/>
      <c r="L1085" s="15"/>
      <c r="M1085" s="15"/>
      <c r="N1085" s="15"/>
      <c r="O1085" s="15"/>
      <c r="P1085" s="15"/>
      <c r="Q1085" s="11"/>
      <c r="R1085" s="11"/>
      <c r="S1085" s="11"/>
      <c r="T1085" s="11"/>
      <c r="U1085" s="15"/>
      <c r="V1085" s="11"/>
      <c r="W1085" s="11"/>
      <c r="X1085" s="11"/>
      <c r="Y1085" s="11"/>
      <c r="Z1085" s="11"/>
    </row>
    <row r="1086">
      <c r="A1086" s="18"/>
      <c r="B1086" s="11"/>
      <c r="C1086" s="11"/>
      <c r="D1086" s="11"/>
      <c r="E1086" s="11"/>
      <c r="F1086" s="11"/>
      <c r="G1086" s="11"/>
      <c r="H1086" s="11"/>
      <c r="I1086" s="11"/>
      <c r="J1086" s="11"/>
      <c r="K1086" s="11"/>
      <c r="L1086" s="15"/>
      <c r="M1086" s="15"/>
      <c r="N1086" s="15"/>
      <c r="O1086" s="15"/>
      <c r="P1086" s="15"/>
      <c r="Q1086" s="11"/>
      <c r="R1086" s="11"/>
      <c r="S1086" s="11"/>
      <c r="T1086" s="11"/>
      <c r="U1086" s="15"/>
      <c r="V1086" s="11"/>
      <c r="W1086" s="11"/>
      <c r="X1086" s="11"/>
      <c r="Y1086" s="11"/>
      <c r="Z1086" s="11"/>
    </row>
    <row r="1087">
      <c r="A1087" s="18"/>
      <c r="B1087" s="11"/>
      <c r="C1087" s="11"/>
      <c r="D1087" s="11"/>
      <c r="E1087" s="11"/>
      <c r="F1087" s="11"/>
      <c r="G1087" s="11"/>
      <c r="H1087" s="11"/>
      <c r="I1087" s="11"/>
      <c r="J1087" s="11"/>
      <c r="K1087" s="11"/>
      <c r="L1087" s="15"/>
      <c r="M1087" s="15"/>
      <c r="N1087" s="15"/>
      <c r="O1087" s="15"/>
      <c r="P1087" s="15"/>
      <c r="Q1087" s="11"/>
      <c r="R1087" s="11"/>
      <c r="S1087" s="11"/>
      <c r="T1087" s="11"/>
      <c r="U1087" s="15"/>
      <c r="V1087" s="11"/>
      <c r="W1087" s="11"/>
      <c r="X1087" s="11"/>
      <c r="Y1087" s="11"/>
      <c r="Z1087" s="11"/>
    </row>
    <row r="1088">
      <c r="A1088" s="18"/>
      <c r="B1088" s="11"/>
      <c r="C1088" s="11"/>
      <c r="D1088" s="11"/>
      <c r="E1088" s="11"/>
      <c r="F1088" s="11"/>
      <c r="G1088" s="11"/>
      <c r="H1088" s="11"/>
      <c r="I1088" s="11"/>
      <c r="J1088" s="11"/>
      <c r="K1088" s="11"/>
      <c r="L1088" s="15"/>
      <c r="M1088" s="15"/>
      <c r="N1088" s="15"/>
      <c r="O1088" s="15"/>
      <c r="P1088" s="15"/>
      <c r="Q1088" s="11"/>
      <c r="R1088" s="11"/>
      <c r="S1088" s="11"/>
      <c r="T1088" s="11"/>
      <c r="U1088" s="15"/>
      <c r="V1088" s="11"/>
      <c r="W1088" s="11"/>
      <c r="X1088" s="11"/>
      <c r="Y1088" s="11"/>
      <c r="Z1088" s="11"/>
    </row>
    <row r="1089">
      <c r="A1089" s="18"/>
      <c r="B1089" s="11"/>
      <c r="C1089" s="11"/>
      <c r="D1089" s="11"/>
      <c r="E1089" s="11"/>
      <c r="F1089" s="11"/>
      <c r="G1089" s="11"/>
      <c r="H1089" s="11"/>
      <c r="I1089" s="11"/>
      <c r="J1089" s="11"/>
      <c r="K1089" s="11"/>
      <c r="L1089" s="15"/>
      <c r="M1089" s="15"/>
      <c r="N1089" s="15"/>
      <c r="O1089" s="15"/>
      <c r="P1089" s="15"/>
      <c r="Q1089" s="11"/>
      <c r="R1089" s="11"/>
      <c r="S1089" s="11"/>
      <c r="T1089" s="11"/>
      <c r="U1089" s="15"/>
      <c r="V1089" s="11"/>
      <c r="W1089" s="11"/>
      <c r="X1089" s="11"/>
      <c r="Y1089" s="11"/>
      <c r="Z1089" s="11"/>
    </row>
    <row r="1090">
      <c r="A1090" s="18"/>
      <c r="B1090" s="11"/>
      <c r="C1090" s="11"/>
      <c r="D1090" s="11"/>
      <c r="E1090" s="11"/>
      <c r="F1090" s="11"/>
      <c r="G1090" s="11"/>
      <c r="H1090" s="11"/>
      <c r="I1090" s="11"/>
      <c r="J1090" s="11"/>
      <c r="K1090" s="11"/>
      <c r="L1090" s="15"/>
      <c r="M1090" s="15"/>
      <c r="N1090" s="15"/>
      <c r="O1090" s="15"/>
      <c r="P1090" s="15"/>
      <c r="Q1090" s="11"/>
      <c r="R1090" s="11"/>
      <c r="S1090" s="11"/>
      <c r="T1090" s="11"/>
      <c r="U1090" s="15"/>
      <c r="V1090" s="11"/>
      <c r="W1090" s="11"/>
      <c r="X1090" s="11"/>
      <c r="Y1090" s="11"/>
      <c r="Z1090" s="11"/>
    </row>
    <row r="1091">
      <c r="A1091" s="18"/>
      <c r="B1091" s="11"/>
      <c r="C1091" s="11"/>
      <c r="D1091" s="11"/>
      <c r="E1091" s="11"/>
      <c r="F1091" s="11"/>
      <c r="G1091" s="11"/>
      <c r="H1091" s="11"/>
      <c r="I1091" s="11"/>
      <c r="J1091" s="11"/>
      <c r="K1091" s="11"/>
      <c r="L1091" s="15"/>
      <c r="M1091" s="15"/>
      <c r="N1091" s="15"/>
      <c r="O1091" s="15"/>
      <c r="P1091" s="15"/>
      <c r="Q1091" s="11"/>
      <c r="R1091" s="11"/>
      <c r="S1091" s="11"/>
      <c r="T1091" s="11"/>
      <c r="U1091" s="15"/>
      <c r="V1091" s="11"/>
      <c r="W1091" s="11"/>
      <c r="X1091" s="11"/>
      <c r="Y1091" s="11"/>
      <c r="Z1091" s="11"/>
    </row>
    <row r="1092">
      <c r="A1092" s="18"/>
      <c r="B1092" s="11"/>
      <c r="C1092" s="11"/>
      <c r="D1092" s="11"/>
      <c r="E1092" s="11"/>
      <c r="F1092" s="11"/>
      <c r="G1092" s="11"/>
      <c r="H1092" s="11"/>
      <c r="I1092" s="11"/>
      <c r="J1092" s="11"/>
      <c r="K1092" s="11"/>
      <c r="L1092" s="15"/>
      <c r="M1092" s="15"/>
      <c r="N1092" s="15"/>
      <c r="O1092" s="15"/>
      <c r="P1092" s="15"/>
      <c r="Q1092" s="11"/>
      <c r="R1092" s="11"/>
      <c r="S1092" s="11"/>
      <c r="T1092" s="11"/>
      <c r="U1092" s="15"/>
      <c r="V1092" s="11"/>
      <c r="W1092" s="11"/>
      <c r="X1092" s="11"/>
      <c r="Y1092" s="11"/>
      <c r="Z1092" s="11"/>
    </row>
    <row r="1093">
      <c r="A1093" s="18"/>
      <c r="B1093" s="11"/>
      <c r="C1093" s="11"/>
      <c r="D1093" s="11"/>
      <c r="E1093" s="11"/>
      <c r="F1093" s="11"/>
      <c r="G1093" s="11"/>
      <c r="H1093" s="11"/>
      <c r="I1093" s="11"/>
      <c r="J1093" s="11"/>
      <c r="K1093" s="11"/>
      <c r="L1093" s="15"/>
      <c r="M1093" s="15"/>
      <c r="N1093" s="15"/>
      <c r="O1093" s="15"/>
      <c r="P1093" s="15"/>
      <c r="Q1093" s="11"/>
      <c r="R1093" s="11"/>
      <c r="S1093" s="11"/>
      <c r="T1093" s="11"/>
      <c r="U1093" s="15"/>
      <c r="V1093" s="11"/>
      <c r="W1093" s="11"/>
      <c r="X1093" s="11"/>
      <c r="Y1093" s="11"/>
      <c r="Z1093" s="11"/>
    </row>
    <row r="1094">
      <c r="A1094" s="18"/>
      <c r="B1094" s="11"/>
      <c r="C1094" s="11"/>
      <c r="D1094" s="11"/>
      <c r="E1094" s="11"/>
      <c r="F1094" s="11"/>
      <c r="G1094" s="11"/>
      <c r="H1094" s="11"/>
      <c r="I1094" s="11"/>
      <c r="J1094" s="11"/>
      <c r="K1094" s="11"/>
      <c r="L1094" s="15"/>
      <c r="M1094" s="15"/>
      <c r="N1094" s="15"/>
      <c r="O1094" s="15"/>
      <c r="P1094" s="15"/>
      <c r="Q1094" s="11"/>
      <c r="R1094" s="11"/>
      <c r="S1094" s="11"/>
      <c r="T1094" s="11"/>
      <c r="U1094" s="15"/>
      <c r="V1094" s="11"/>
      <c r="W1094" s="11"/>
      <c r="X1094" s="11"/>
      <c r="Y1094" s="11"/>
      <c r="Z1094" s="11"/>
    </row>
    <row r="1095">
      <c r="A1095" s="18"/>
      <c r="B1095" s="11"/>
      <c r="C1095" s="11"/>
      <c r="D1095" s="11"/>
      <c r="E1095" s="11"/>
      <c r="F1095" s="11"/>
      <c r="G1095" s="11"/>
      <c r="H1095" s="11"/>
      <c r="I1095" s="11"/>
      <c r="J1095" s="11"/>
      <c r="K1095" s="11"/>
      <c r="L1095" s="15"/>
      <c r="M1095" s="15"/>
      <c r="N1095" s="15"/>
      <c r="O1095" s="15"/>
      <c r="P1095" s="15"/>
      <c r="Q1095" s="11"/>
      <c r="R1095" s="11"/>
      <c r="S1095" s="11"/>
      <c r="T1095" s="11"/>
      <c r="U1095" s="15"/>
      <c r="V1095" s="11"/>
      <c r="W1095" s="11"/>
      <c r="X1095" s="11"/>
      <c r="Y1095" s="11"/>
      <c r="Z1095" s="11"/>
    </row>
    <row r="1096">
      <c r="A1096" s="18"/>
      <c r="B1096" s="11"/>
      <c r="C1096" s="11"/>
      <c r="D1096" s="11"/>
      <c r="E1096" s="11"/>
      <c r="F1096" s="11"/>
      <c r="G1096" s="11"/>
      <c r="H1096" s="11"/>
      <c r="I1096" s="11"/>
      <c r="J1096" s="11"/>
      <c r="K1096" s="11"/>
      <c r="L1096" s="15"/>
      <c r="M1096" s="15"/>
      <c r="N1096" s="15"/>
      <c r="O1096" s="15"/>
      <c r="P1096" s="15"/>
      <c r="Q1096" s="11"/>
      <c r="R1096" s="11"/>
      <c r="S1096" s="11"/>
      <c r="T1096" s="11"/>
      <c r="U1096" s="15"/>
      <c r="V1096" s="11"/>
      <c r="W1096" s="11"/>
      <c r="X1096" s="11"/>
      <c r="Y1096" s="11"/>
      <c r="Z1096" s="11"/>
    </row>
    <row r="1097">
      <c r="A1097" s="18"/>
      <c r="B1097" s="11"/>
      <c r="C1097" s="11"/>
      <c r="D1097" s="11"/>
      <c r="E1097" s="11"/>
      <c r="F1097" s="11"/>
      <c r="G1097" s="11"/>
      <c r="H1097" s="11"/>
      <c r="I1097" s="11"/>
      <c r="J1097" s="11"/>
      <c r="K1097" s="11"/>
      <c r="L1097" s="15"/>
      <c r="M1097" s="15"/>
      <c r="N1097" s="15"/>
      <c r="O1097" s="15"/>
      <c r="P1097" s="15"/>
      <c r="Q1097" s="11"/>
      <c r="R1097" s="11"/>
      <c r="S1097" s="11"/>
      <c r="T1097" s="11"/>
      <c r="U1097" s="15"/>
      <c r="V1097" s="11"/>
      <c r="W1097" s="11"/>
      <c r="X1097" s="11"/>
      <c r="Y1097" s="11"/>
      <c r="Z1097" s="11"/>
    </row>
    <row r="1098">
      <c r="A1098" s="18"/>
      <c r="B1098" s="11"/>
      <c r="C1098" s="11"/>
      <c r="D1098" s="11"/>
      <c r="E1098" s="11"/>
      <c r="F1098" s="11"/>
      <c r="G1098" s="11"/>
      <c r="H1098" s="11"/>
      <c r="I1098" s="11"/>
      <c r="J1098" s="11"/>
      <c r="K1098" s="11"/>
      <c r="L1098" s="15"/>
      <c r="M1098" s="15"/>
      <c r="N1098" s="15"/>
      <c r="O1098" s="15"/>
      <c r="P1098" s="15"/>
      <c r="Q1098" s="11"/>
      <c r="R1098" s="11"/>
      <c r="S1098" s="11"/>
      <c r="T1098" s="11"/>
      <c r="U1098" s="15"/>
      <c r="V1098" s="11"/>
      <c r="W1098" s="11"/>
      <c r="X1098" s="11"/>
      <c r="Y1098" s="11"/>
      <c r="Z1098" s="11"/>
    </row>
    <row r="1099">
      <c r="A1099" s="18"/>
      <c r="B1099" s="11"/>
      <c r="C1099" s="11"/>
      <c r="D1099" s="11"/>
      <c r="E1099" s="11"/>
      <c r="F1099" s="11"/>
      <c r="G1099" s="11"/>
      <c r="H1099" s="11"/>
      <c r="I1099" s="11"/>
      <c r="J1099" s="11"/>
      <c r="K1099" s="11"/>
      <c r="L1099" s="15"/>
      <c r="M1099" s="15"/>
      <c r="N1099" s="15"/>
      <c r="O1099" s="15"/>
      <c r="P1099" s="15"/>
      <c r="Q1099" s="11"/>
      <c r="R1099" s="11"/>
      <c r="S1099" s="11"/>
      <c r="T1099" s="11"/>
      <c r="U1099" s="15"/>
      <c r="V1099" s="11"/>
      <c r="W1099" s="11"/>
      <c r="X1099" s="11"/>
      <c r="Y1099" s="11"/>
      <c r="Z1099" s="11"/>
    </row>
    <row r="1100">
      <c r="A1100" s="18"/>
      <c r="B1100" s="11"/>
      <c r="C1100" s="11"/>
      <c r="D1100" s="11"/>
      <c r="E1100" s="11"/>
      <c r="F1100" s="11"/>
      <c r="G1100" s="11"/>
      <c r="H1100" s="11"/>
      <c r="I1100" s="11"/>
      <c r="J1100" s="11"/>
      <c r="K1100" s="11"/>
      <c r="L1100" s="15"/>
      <c r="M1100" s="15"/>
      <c r="N1100" s="15"/>
      <c r="O1100" s="15"/>
      <c r="P1100" s="15"/>
      <c r="Q1100" s="11"/>
      <c r="R1100" s="11"/>
      <c r="S1100" s="11"/>
      <c r="T1100" s="11"/>
      <c r="U1100" s="15"/>
      <c r="V1100" s="11"/>
      <c r="W1100" s="11"/>
      <c r="X1100" s="11"/>
      <c r="Y1100" s="11"/>
      <c r="Z1100" s="11"/>
    </row>
  </sheetData>
  <hyperlinks>
    <hyperlink r:id="rId1" ref="F3"/>
    <hyperlink r:id="rId2" ref="S3"/>
    <hyperlink r:id="rId3" ref="F4"/>
    <hyperlink r:id="rId4" ref="G5"/>
    <hyperlink r:id="rId5" ref="S6"/>
    <hyperlink r:id="rId6" ref="S13"/>
    <hyperlink r:id="rId7" ref="S16"/>
    <hyperlink r:id="rId8" ref="S18"/>
    <hyperlink r:id="rId9" ref="F19"/>
    <hyperlink r:id="rId10" ref="F28"/>
    <hyperlink r:id="rId11" ref="G28"/>
    <hyperlink r:id="rId12" ref="F31"/>
    <hyperlink r:id="rId13" ref="S31"/>
    <hyperlink r:id="rId14" ref="S32"/>
    <hyperlink r:id="rId15" ref="S33"/>
    <hyperlink r:id="rId16" ref="S35"/>
    <hyperlink r:id="rId17" ref="F36"/>
    <hyperlink r:id="rId18" ref="S40"/>
    <hyperlink r:id="rId19" ref="F43"/>
    <hyperlink r:id="rId20" ref="S46"/>
    <hyperlink r:id="rId21" ref="S47"/>
    <hyperlink r:id="rId22" ref="F50"/>
    <hyperlink r:id="rId23" ref="G50"/>
    <hyperlink r:id="rId24" ref="S50"/>
    <hyperlink r:id="rId25" ref="F51"/>
    <hyperlink r:id="rId26" ref="S51"/>
    <hyperlink r:id="rId27" ref="F52"/>
    <hyperlink r:id="rId28" ref="G52"/>
    <hyperlink r:id="rId29" ref="S53"/>
    <hyperlink r:id="rId30" ref="F54"/>
    <hyperlink r:id="rId31" ref="G54"/>
    <hyperlink r:id="rId32" ref="S54"/>
    <hyperlink r:id="rId33" ref="F55"/>
    <hyperlink r:id="rId34" ref="S56"/>
    <hyperlink r:id="rId35" ref="G57"/>
    <hyperlink r:id="rId36" ref="S58"/>
    <hyperlink r:id="rId37" ref="F59"/>
    <hyperlink r:id="rId38" ref="G60"/>
    <hyperlink r:id="rId39" ref="S60"/>
    <hyperlink r:id="rId40" ref="F62"/>
    <hyperlink r:id="rId41" ref="G62"/>
    <hyperlink r:id="rId42" ref="G64"/>
    <hyperlink r:id="rId43" ref="S66"/>
    <hyperlink r:id="rId44" ref="F68"/>
    <hyperlink r:id="rId45" ref="S68"/>
    <hyperlink r:id="rId46" ref="F69"/>
    <hyperlink r:id="rId47" ref="S71"/>
    <hyperlink r:id="rId48" ref="F72"/>
    <hyperlink r:id="rId49" ref="G72"/>
    <hyperlink r:id="rId50" ref="S72"/>
    <hyperlink r:id="rId51" ref="F73"/>
    <hyperlink r:id="rId52" ref="G73"/>
    <hyperlink r:id="rId53" ref="G76"/>
    <hyperlink r:id="rId54" ref="F77"/>
    <hyperlink r:id="rId55" ref="S77"/>
    <hyperlink r:id="rId56" ref="F78"/>
    <hyperlink r:id="rId57" ref="G78"/>
    <hyperlink r:id="rId58" ref="F81"/>
    <hyperlink r:id="rId59" ref="G81"/>
    <hyperlink r:id="rId60" ref="F83"/>
    <hyperlink r:id="rId61" ref="S84"/>
    <hyperlink r:id="rId62" ref="S87"/>
    <hyperlink r:id="rId63" ref="F88"/>
    <hyperlink r:id="rId64" ref="G88"/>
    <hyperlink r:id="rId65" ref="G89"/>
    <hyperlink r:id="rId66" ref="S89"/>
    <hyperlink r:id="rId67" ref="G90"/>
    <hyperlink r:id="rId68" ref="S90"/>
    <hyperlink r:id="rId69" ref="F92"/>
    <hyperlink r:id="rId70" ref="G92"/>
    <hyperlink r:id="rId71" ref="S93"/>
    <hyperlink r:id="rId72" ref="G94"/>
    <hyperlink r:id="rId73" ref="S94"/>
    <hyperlink r:id="rId74" ref="F95"/>
    <hyperlink r:id="rId75" ref="S95"/>
    <hyperlink r:id="rId76" ref="F96"/>
    <hyperlink r:id="rId77" ref="G96"/>
    <hyperlink r:id="rId78" ref="F101"/>
    <hyperlink r:id="rId79" ref="G101"/>
    <hyperlink r:id="rId80" ref="S101"/>
  </hyperlinks>
  <drawing r:id="rId81"/>
  <tableParts count="1">
    <tablePart r:id="rId8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0" t="s">
        <v>1</v>
      </c>
      <c r="B1" s="10" t="s">
        <v>2018</v>
      </c>
      <c r="C1" s="11"/>
      <c r="D1" s="11"/>
      <c r="E1" s="11"/>
      <c r="F1" s="11"/>
      <c r="G1" s="11"/>
      <c r="H1" s="11"/>
      <c r="I1" s="11"/>
      <c r="J1" s="11"/>
      <c r="K1" s="11"/>
      <c r="L1" s="11"/>
      <c r="M1" s="11"/>
      <c r="N1" s="11"/>
      <c r="O1" s="11"/>
      <c r="P1" s="11"/>
      <c r="Q1" s="11"/>
      <c r="R1" s="11"/>
      <c r="S1" s="11"/>
      <c r="T1" s="11"/>
      <c r="U1" s="11"/>
      <c r="V1" s="11"/>
      <c r="W1" s="11"/>
      <c r="X1" s="11"/>
      <c r="Y1" s="11"/>
      <c r="Z1" s="11"/>
    </row>
    <row r="2">
      <c r="A2" s="20">
        <v>44222.55613668982</v>
      </c>
      <c r="B2" s="10" t="s">
        <v>2019</v>
      </c>
      <c r="C2" s="11"/>
      <c r="D2" s="11"/>
      <c r="E2" s="11"/>
      <c r="F2" s="11"/>
      <c r="G2" s="11"/>
      <c r="H2" s="11"/>
      <c r="I2" s="11"/>
      <c r="J2" s="11"/>
      <c r="K2" s="11"/>
      <c r="L2" s="11"/>
      <c r="M2" s="11"/>
      <c r="N2" s="11"/>
      <c r="O2" s="11"/>
      <c r="P2" s="11"/>
      <c r="Q2" s="11"/>
      <c r="R2" s="11"/>
      <c r="S2" s="11"/>
      <c r="T2" s="11"/>
      <c r="U2" s="11"/>
      <c r="V2" s="11"/>
      <c r="W2" s="11"/>
      <c r="X2" s="11"/>
      <c r="Y2" s="11"/>
      <c r="Z2" s="11"/>
    </row>
    <row r="3">
      <c r="A3" s="20">
        <v>44222.55700288195</v>
      </c>
      <c r="B3" s="10" t="s">
        <v>2020</v>
      </c>
      <c r="C3" s="11"/>
      <c r="D3" s="11"/>
      <c r="E3" s="11"/>
      <c r="F3" s="11"/>
      <c r="G3" s="11"/>
      <c r="H3" s="11"/>
      <c r="I3" s="11"/>
      <c r="J3" s="11"/>
      <c r="K3" s="11"/>
      <c r="L3" s="11"/>
      <c r="M3" s="11"/>
      <c r="N3" s="11"/>
      <c r="O3" s="11"/>
      <c r="P3" s="11"/>
      <c r="Q3" s="11"/>
      <c r="R3" s="11"/>
      <c r="S3" s="11"/>
      <c r="T3" s="11"/>
      <c r="U3" s="11"/>
      <c r="V3" s="11"/>
      <c r="W3" s="11"/>
      <c r="X3" s="11"/>
      <c r="Y3" s="11"/>
      <c r="Z3" s="11"/>
    </row>
    <row r="4">
      <c r="A4" s="20">
        <v>44222.557481192125</v>
      </c>
      <c r="B4" s="10" t="s">
        <v>2021</v>
      </c>
      <c r="C4" s="11"/>
      <c r="D4" s="11"/>
      <c r="E4" s="11"/>
      <c r="F4" s="11"/>
      <c r="G4" s="11"/>
      <c r="H4" s="11"/>
      <c r="I4" s="11"/>
      <c r="J4" s="11"/>
      <c r="K4" s="11"/>
      <c r="L4" s="11"/>
      <c r="M4" s="11"/>
      <c r="N4" s="11"/>
      <c r="O4" s="11"/>
      <c r="P4" s="11"/>
      <c r="Q4" s="11"/>
      <c r="R4" s="11"/>
      <c r="S4" s="11"/>
      <c r="T4" s="11"/>
      <c r="U4" s="11"/>
      <c r="V4" s="11"/>
      <c r="W4" s="11"/>
      <c r="X4" s="11"/>
      <c r="Y4" s="11"/>
      <c r="Z4" s="11"/>
    </row>
    <row r="5">
      <c r="A5" s="20">
        <v>44222.55836431713</v>
      </c>
      <c r="B5" s="10" t="s">
        <v>2022</v>
      </c>
      <c r="C5" s="11"/>
      <c r="D5" s="11"/>
      <c r="E5" s="11"/>
      <c r="F5" s="11"/>
      <c r="G5" s="11"/>
      <c r="H5" s="11"/>
      <c r="I5" s="11"/>
      <c r="J5" s="11"/>
      <c r="K5" s="11"/>
      <c r="L5" s="11"/>
      <c r="M5" s="11"/>
      <c r="N5" s="11"/>
      <c r="O5" s="11"/>
      <c r="P5" s="11"/>
      <c r="Q5" s="11"/>
      <c r="R5" s="11"/>
      <c r="S5" s="11"/>
      <c r="T5" s="11"/>
      <c r="U5" s="11"/>
      <c r="V5" s="11"/>
      <c r="W5" s="11"/>
      <c r="X5" s="11"/>
      <c r="Y5" s="11"/>
      <c r="Z5" s="11"/>
    </row>
    <row r="6">
      <c r="A6" s="20">
        <v>44222.55931409722</v>
      </c>
      <c r="B6" s="10" t="s">
        <v>2023</v>
      </c>
      <c r="C6" s="11"/>
      <c r="D6" s="11"/>
      <c r="E6" s="11"/>
      <c r="F6" s="11"/>
      <c r="G6" s="11"/>
      <c r="H6" s="11"/>
      <c r="I6" s="11"/>
      <c r="J6" s="11"/>
      <c r="K6" s="11"/>
      <c r="L6" s="11"/>
      <c r="M6" s="11"/>
      <c r="N6" s="11"/>
      <c r="O6" s="11"/>
      <c r="P6" s="11"/>
      <c r="Q6" s="11"/>
      <c r="R6" s="11"/>
      <c r="S6" s="11"/>
      <c r="T6" s="11"/>
      <c r="U6" s="11"/>
      <c r="V6" s="11"/>
      <c r="W6" s="11"/>
      <c r="X6" s="11"/>
      <c r="Y6" s="11"/>
      <c r="Z6" s="11"/>
    </row>
    <row r="7">
      <c r="A7" s="20">
        <v>44222.561474305556</v>
      </c>
      <c r="B7" s="10" t="s">
        <v>2024</v>
      </c>
      <c r="C7" s="11"/>
      <c r="D7" s="11"/>
      <c r="E7" s="11"/>
      <c r="F7" s="11"/>
      <c r="G7" s="11"/>
      <c r="H7" s="11"/>
      <c r="I7" s="11"/>
      <c r="J7" s="11"/>
      <c r="K7" s="11"/>
      <c r="L7" s="11"/>
      <c r="M7" s="11"/>
      <c r="N7" s="11"/>
      <c r="O7" s="11"/>
      <c r="P7" s="11"/>
      <c r="Q7" s="11"/>
      <c r="R7" s="11"/>
      <c r="S7" s="11"/>
      <c r="T7" s="11"/>
      <c r="U7" s="11"/>
      <c r="V7" s="11"/>
      <c r="W7" s="11"/>
      <c r="X7" s="11"/>
      <c r="Y7" s="11"/>
      <c r="Z7" s="11"/>
    </row>
    <row r="8">
      <c r="A8" s="20">
        <v>44222.56189964121</v>
      </c>
      <c r="B8" s="10" t="s">
        <v>2025</v>
      </c>
      <c r="C8" s="11"/>
      <c r="D8" s="11"/>
      <c r="E8" s="11"/>
      <c r="F8" s="11"/>
      <c r="G8" s="11"/>
      <c r="H8" s="11"/>
      <c r="I8" s="11"/>
      <c r="J8" s="11"/>
      <c r="K8" s="11"/>
      <c r="L8" s="11"/>
      <c r="M8" s="11"/>
      <c r="N8" s="11"/>
      <c r="O8" s="11"/>
      <c r="P8" s="11"/>
      <c r="Q8" s="11"/>
      <c r="R8" s="11"/>
      <c r="S8" s="11"/>
      <c r="T8" s="11"/>
      <c r="U8" s="11"/>
      <c r="V8" s="11"/>
      <c r="W8" s="11"/>
      <c r="X8" s="11"/>
      <c r="Y8" s="11"/>
      <c r="Z8" s="11"/>
    </row>
    <row r="9">
      <c r="A9" s="11"/>
      <c r="B9" s="11"/>
      <c r="C9" s="11"/>
      <c r="D9" s="11"/>
      <c r="E9" s="11"/>
      <c r="F9" s="11"/>
      <c r="G9" s="11"/>
      <c r="H9" s="11"/>
      <c r="I9" s="11"/>
      <c r="J9" s="11"/>
      <c r="K9" s="11"/>
      <c r="L9" s="11"/>
      <c r="M9" s="11"/>
      <c r="N9" s="11"/>
      <c r="O9" s="11"/>
      <c r="P9" s="11"/>
      <c r="Q9" s="11"/>
      <c r="R9" s="11"/>
      <c r="S9" s="11"/>
      <c r="T9" s="11"/>
      <c r="U9" s="11"/>
      <c r="V9" s="11"/>
      <c r="W9" s="11"/>
      <c r="X9" s="11"/>
      <c r="Y9" s="11"/>
      <c r="Z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